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kblatt" sheetId="1" r:id="rId4"/>
    <sheet state="visible" name="Datengrundlage" sheetId="2" r:id="rId5"/>
    <sheet state="visible" name="Betriebsgrößenanalyse" sheetId="3" r:id="rId6"/>
    <sheet state="visible" name="Kapitalbedarfsplanung" sheetId="4" r:id="rId7"/>
    <sheet state="hidden" name="Plan_GuV" sheetId="5" r:id="rId8"/>
    <sheet state="visible" name="Plan_Bilanz" sheetId="6" r:id="rId9"/>
    <sheet state="hidden" name="PflanzSaatkosten monatl." sheetId="7" r:id="rId10"/>
    <sheet state="hidden" name="Mitglieder-_&amp;_Umsatzwachstum" sheetId="8" r:id="rId11"/>
    <sheet state="visible" name="Investitionsplanung" sheetId="9" r:id="rId12"/>
    <sheet state="visible" name="Liquiditätsplan" sheetId="10" r:id="rId13"/>
    <sheet state="hidden" name="Mitglieder-_und_Einlagenentwick" sheetId="11" r:id="rId14"/>
  </sheets>
  <definedNames/>
  <calcPr/>
  <extLst>
    <ext uri="GoogleSheetsCustomDataVersion1">
      <go:sheetsCustomData xmlns:go="http://customooxmlschemas.google.com/" r:id="rId15" roundtripDataSignature="AMtx7mil0A3qE8qeO+AMEdMnHJN1cSBZO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95">
      <text>
        <t xml:space="preserve">======
ID#AAAALUHuG88
    (2021-01-23 20:38:51)
8.00 = 40h Woche
7.00 = 35h Woche
6.40 = 32h Woche
6.00 = 30h Woche
5.60 = 28h Woche
5.00 = 25h Woche
4.00 = 20h Woche
2.40 = 12h Woche
2.00 = 10h Woche</t>
      </text>
    </comment>
  </commentList>
  <extLst>
    <ext uri="GoogleSheetsCustomDataVersion1">
      <go:sheetsCustomData xmlns:go="http://customooxmlschemas.google.com/" r:id="rId1" roundtripDataSignature="AMtx7mhBALlI+HT2TzoQB1wvXYFWmk9LQ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1">
      <text>
        <t xml:space="preserve">======
ID#AAAALUHuG9E
    (2021-01-23 20:38:51)
eigene Abschätzung: 5 % der Investitionssumme alle TA und Maschinen pro Jahr</t>
      </text>
    </comment>
  </commentList>
  <extLst>
    <ext uri="GoogleSheetsCustomDataVersion1">
      <go:sheetsCustomData xmlns:go="http://customooxmlschemas.google.com/" r:id="rId1" roundtripDataSignature="AMtx7mige0ORae6O2PJcu4SnbhCOOjTuO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T3">
      <text>
        <t xml:space="preserve">======
ID#AAAALUHuG9c
    (2021-01-23 20:38:51)
Martin: noch Abstimmen mit Gärtner/ Öffigruppe</t>
      </text>
    </comment>
  </commentList>
  <extLst>
    <ext uri="GoogleSheetsCustomDataVersion1">
      <go:sheetsCustomData xmlns:go="http://customooxmlschemas.google.com/" r:id="rId1" roundtripDataSignature="AMtx7mipEHXg8HgCbvbyTma0AvuUrhwzYw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6">
      <text>
        <t xml:space="preserve">======
ID#AAAALUHuG9g
    (2021-01-23 20:38:51)
Kostenvoranschlag übernommen Angabe Fa. Nitsch</t>
      </text>
    </comment>
    <comment authorId="0" ref="K2">
      <text>
        <t xml:space="preserve">======
ID#AAAALUHuG9Q
    (2021-01-23 20:38:51)
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Abschreibung nach Monaten nachrechnen</t>
      </text>
    </comment>
    <comment authorId="0" ref="A18">
      <text>
        <t xml:space="preserve">======
ID#AAAALUHuG84
    (2021-01-23 20:38:51)
Kostenvoranschlag übernommen Angabe Fa. Nitsch</t>
      </text>
    </comment>
  </commentList>
  <extLst>
    <ext uri="GoogleSheetsCustomDataVersion1">
      <go:sheetsCustomData xmlns:go="http://customooxmlschemas.google.com/" r:id="rId1" roundtripDataSignature="AMtx7mjCrcpVsBNkJclxflyqDiHuTT9FBg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93">
      <text>
        <t xml:space="preserve">======
ID#AAAALUHuG9Y
    (2021-01-23 20:38:51)
20.000 € noch nicht final, Stand 17.12.2020
	-Patrick Bueker</t>
      </text>
    </comment>
    <comment authorId="0" ref="G92">
      <text>
        <t xml:space="preserve">======
ID#AAAALUHuG9U
    (2021-01-23 20:38:51)
Martin: alles bis einschließlich 9/2020</t>
      </text>
    </comment>
    <comment authorId="0" ref="G66">
      <text>
        <t xml:space="preserve">======
ID#AAAALUHuG9M
    (2021-01-23 20:38:51)
Martin: B. Flieger</t>
      </text>
    </comment>
    <comment authorId="0" ref="L52">
      <text>
        <t xml:space="preserve">======
ID#AAAALUHuG9I
    (2021-01-23 20:38:51)
Versicherung im Quartal 186 €?
	-Patrick Bueker</t>
      </text>
    </comment>
    <comment authorId="0" ref="G59">
      <text>
        <t xml:space="preserve">======
ID#AAAALUHuG9A
    (2021-01-23 20:38:51)
Martin: T-Shirt Druck</t>
      </text>
    </comment>
  </commentList>
  <extLst>
    <ext uri="GoogleSheetsCustomDataVersion1">
      <go:sheetsCustomData xmlns:go="http://customooxmlschemas.google.com/" r:id="rId1" roundtripDataSignature="AMtx7mgc8SBEbbGiGaDtEu9ScCBTsyPGxA=="/>
    </ext>
  </extLst>
</comments>
</file>

<file path=xl/sharedStrings.xml><?xml version="1.0" encoding="utf-8"?>
<sst xmlns="http://schemas.openxmlformats.org/spreadsheetml/2006/main" count="839" uniqueCount="545">
  <si>
    <t>Solawi Katringer Grünzeug eG iG</t>
  </si>
  <si>
    <t>Finanzplanung Katringer Grünzeug eGiG</t>
  </si>
  <si>
    <t>Die Datengrundlage</t>
  </si>
  <si>
    <t>Betriebsgrößenanalyse</t>
  </si>
  <si>
    <t>Investitionsplanung</t>
  </si>
  <si>
    <t>Liquiditätsplanung</t>
  </si>
  <si>
    <t>Datengrundlage</t>
  </si>
  <si>
    <t>Genossenschaftsanteile, Anbauflächen, Preise, Arbeitsaufwand, Boden</t>
  </si>
  <si>
    <t>In der Satzung festgelegt</t>
  </si>
  <si>
    <t>Basierend auf Erfahrungswerte zum 15.1.2021 bei 100 Mitgliedern</t>
  </si>
  <si>
    <t>Maximale Genossenschaftsanteile</t>
  </si>
  <si>
    <t>Durchschnittliche Einlagenhöhe / Mitglied</t>
  </si>
  <si>
    <t>Jährlicher Beitrag / Mitglied</t>
  </si>
  <si>
    <t>In der ersten Generalversammlung festgelegt</t>
  </si>
  <si>
    <t>Ratio: Genossenschaftsmitglieder/GemüseAbonennten</t>
  </si>
  <si>
    <t>geschätzter Wert zur Ermittlung der gesamten Beiträge in der Betriebsgrößenanalyse</t>
  </si>
  <si>
    <t>Zugang Genossenschaftsmitglieder 1. Geschäftsjahr [Anzahl]</t>
  </si>
  <si>
    <t>Zugang Genossenschaftsmitglieder Rumpfjahr [Anzahl]</t>
  </si>
  <si>
    <t>geschätzter Wert basierend auf mündlichen Zusagen</t>
  </si>
  <si>
    <t>GemüseAbonnenten</t>
  </si>
  <si>
    <t>Erwartete GemüseAbonnenten ab März 2021 [Abonnenten]</t>
  </si>
  <si>
    <t>Extrapolation basierend auf 70 Interessenten</t>
  </si>
  <si>
    <t>Monatliches Wachstum GemüseAbonnenten</t>
  </si>
  <si>
    <t>Höheres Wachstum als ab Juni 2021 basierend auf der Vorleistung von Werbemaßnahmen</t>
  </si>
  <si>
    <t>Geringeres Wachstum als vor Juni 2021 da bereits viele potentiellen Abonnenten dabei sind</t>
  </si>
  <si>
    <t>GemüseAbo Preis</t>
  </si>
  <si>
    <t>Gemüse Ernteanteil Preis Brutt</t>
  </si>
  <si>
    <t>Nach Beschluss Gründunggemeinschaft aus Juni 2020</t>
  </si>
  <si>
    <t>Gemüse Ernteanteil Preis Netto</t>
  </si>
  <si>
    <t>abzüglich 7% MwSt.</t>
  </si>
  <si>
    <t>Gastronomien</t>
  </si>
  <si>
    <t>Erwartete Gastronomie Kunden [Anzahl Gastronomien]</t>
  </si>
  <si>
    <t>Basierend auf 3 Interessenten ohne aktive Akquise im Zeitraum 08/2018-09/2018</t>
  </si>
  <si>
    <t>Monatliches Wachstum Gastronomie Kunden [Anzahl Gastronomien]</t>
  </si>
  <si>
    <t>Gastronomien, die sich bei uns melden</t>
  </si>
  <si>
    <t>Gastronomien Einnahmen</t>
  </si>
  <si>
    <t>Gastronomien Öffnungstage/Monat</t>
  </si>
  <si>
    <t>Täglicher Abnahmewert / Gastronomie</t>
  </si>
  <si>
    <t>Monatlicher Durchschnittseinnahmen Gastronomie Brutto</t>
  </si>
  <si>
    <t>Monatlicher Durchschnittseinnahmen Gastronomie Netto</t>
  </si>
  <si>
    <t>Monatliches Umsatzwachstum [%]</t>
  </si>
  <si>
    <t>Landwirtschaftliche Fläche</t>
  </si>
  <si>
    <t>Baumbestand Apfel [ha]</t>
  </si>
  <si>
    <t>Trauben [ha]</t>
  </si>
  <si>
    <t>Acker [ha]</t>
  </si>
  <si>
    <t>Ca. 3,5-4ha</t>
  </si>
  <si>
    <t>Fläche insgesamt [ha]</t>
  </si>
  <si>
    <t>Pachtzins Ackerland [EUR/ha]</t>
  </si>
  <si>
    <t>Jährlicher Pachtzins insgesamt [ha]</t>
  </si>
  <si>
    <t>EU Flächensubvention [EUR/ha]</t>
  </si>
  <si>
    <t>wird wahrscheinlich nicht beantragt zu kompliziert und aufwändig</t>
  </si>
  <si>
    <t>Zertifiziert Bio</t>
  </si>
  <si>
    <t>300,00€ ab 2022</t>
  </si>
  <si>
    <t>EU Flächensubvention insgesamt [EUR]</t>
  </si>
  <si>
    <t>Einnahme</t>
  </si>
  <si>
    <t>Kaufpreis Ackerland [EUR/ha]</t>
  </si>
  <si>
    <t>Vorrkaufsrecht auf Flächen wird dem Hof bzw. der Familie des Besitzers des Hofes Eingeräumt die natürlich dann an die Solawi Verpachtet werden.</t>
  </si>
  <si>
    <t>Mieten</t>
  </si>
  <si>
    <t>Halle - ehemaliger Kuhstall mit 430m2</t>
  </si>
  <si>
    <t>Ab dem neuem Pachtvertrag - ca. 1.1.2022</t>
  </si>
  <si>
    <t>Packraum</t>
  </si>
  <si>
    <t>Sanitärräume</t>
  </si>
  <si>
    <t>Sozialraum</t>
  </si>
  <si>
    <t>Kühlhaus Frischgemüse</t>
  </si>
  <si>
    <t>Lagerraum Knollengemüse</t>
  </si>
  <si>
    <t>Steuerliche Annahmen</t>
  </si>
  <si>
    <t>Körperschaftssteuer [%]</t>
  </si>
  <si>
    <t>Solidaritätszuschlag [%]</t>
  </si>
  <si>
    <t>Gartenbauliche Annahmen</t>
  </si>
  <si>
    <t>Saat- und Pflanzgut für einen Ernteanteil [EUR]</t>
  </si>
  <si>
    <t xml:space="preserve">Grundelage Zahlen Garten AG </t>
  </si>
  <si>
    <t>Jungpflanzen für einen Ernteanteil [EUR]</t>
  </si>
  <si>
    <t>Anzuchterde für einen Ernteanteil [EUR]</t>
  </si>
  <si>
    <t>Pflanzenschutz [EUR/ha]</t>
  </si>
  <si>
    <t>Düngemittel [EUR/ha]</t>
  </si>
  <si>
    <t>Werkzeuge und Kleingeräte für 25 Ernteanteile</t>
  </si>
  <si>
    <t>Kompost</t>
  </si>
  <si>
    <t>Lohnarbeiten</t>
  </si>
  <si>
    <t>Grundbodenbearbeitung [EUR/ha]</t>
  </si>
  <si>
    <t>Grunddünger - Dünger und Ausbringung [EUR/ha]</t>
  </si>
  <si>
    <t>Kalkung [EUR/ha]</t>
  </si>
  <si>
    <t>ca alle 5 Jahre</t>
  </si>
  <si>
    <t>Aussaat Gründüngung [EUR/ha]</t>
  </si>
  <si>
    <t>Futterroggen, hat im Frühjahr einen schnellen Start.</t>
  </si>
  <si>
    <t>Reparatur &amp; Energie</t>
  </si>
  <si>
    <t>Reparatur und Instandhaltung von Maschinen und Geräten [%/Technische Anlagen und Maschinen</t>
  </si>
  <si>
    <t>Treibstoff (Diesel) [EUR/Jahr]</t>
  </si>
  <si>
    <t>Treibstoff (Diesel) [EUR/Jahr/25 Mitglieder]</t>
  </si>
  <si>
    <t>Strom für Kühlung [EUR/Monat/75 Mitglieder]</t>
  </si>
  <si>
    <t>Schmierstoffe</t>
  </si>
  <si>
    <t>Anbauflächen pro Ernteanteil</t>
  </si>
  <si>
    <t>Fläche Gemüse Freiland [m²]</t>
  </si>
  <si>
    <t>Fläche Kartoffeln [m²]</t>
  </si>
  <si>
    <t>Anbau Lagergemüse ab 2022</t>
  </si>
  <si>
    <t>Fläche geschützter Anbau [m²]</t>
  </si>
  <si>
    <t>Foliengewächshaus</t>
  </si>
  <si>
    <t>Fläche Gründüngung [m²]</t>
  </si>
  <si>
    <t>Wasserversorgung</t>
  </si>
  <si>
    <t>Beregnung [EUR/m3]</t>
  </si>
  <si>
    <t>Wasserbedarf pro m2 Gemüsebau [m3]</t>
  </si>
  <si>
    <t>Arbeitsaufwand</t>
  </si>
  <si>
    <t>Gärtnerische Arbeiten je Ernteanteil pro Jahr [h]</t>
  </si>
  <si>
    <t>Ausfahrtaufwand je 150 Ernteanteile pro Jahr  [h]</t>
  </si>
  <si>
    <t>Ausfahrkosten zu den Abholstationen</t>
  </si>
  <si>
    <t>Kommissionierungsaufwand je 150 Ernteanteile pro Jahr [h]</t>
  </si>
  <si>
    <t>Lagerpflege je 150 Ernteanteile pro Jahr [h]</t>
  </si>
  <si>
    <t>Kommunikationsaufwand je 50 Ernteanteile pro Jahr [h]</t>
  </si>
  <si>
    <t>Kommunikations- und Administrationsaufwand Gesamtbetrieb pro Jahr [h]</t>
  </si>
  <si>
    <t>Gärtner</t>
  </si>
  <si>
    <t>Arbeitskraftstunden pro Person und Jahr [h]</t>
  </si>
  <si>
    <t>Anzahl Kalendertage pro Jahr [d]</t>
  </si>
  <si>
    <t>Anzahl Wochenendtage pro Jahr [d]</t>
  </si>
  <si>
    <t>Anzahl Feiertage pro Jahr [d]</t>
  </si>
  <si>
    <t>Anzahl Urlaubstage pro Jahr [d]</t>
  </si>
  <si>
    <t>Anzahl Krankentage pro Jahr [d]</t>
  </si>
  <si>
    <t>Anzahl Netto-Arbeitstage pro Person und Jahr [d]</t>
  </si>
  <si>
    <t>Anzahl Arbeitsstunden pro Arbeitstag [h]</t>
  </si>
  <si>
    <t>Arbeitgeber-Brutto-Personalkosten pro Person und Jahr [EUR]</t>
  </si>
  <si>
    <t>AG-Anteil Rentenvers.</t>
  </si>
  <si>
    <t>AG-Anteil Krankenvers.</t>
  </si>
  <si>
    <t>AG-Anteil Arbeitslosenvers.</t>
  </si>
  <si>
    <t>AG-Anteil Pflegevers.</t>
  </si>
  <si>
    <t>Umlage U1 (Entgeltfortz.)</t>
  </si>
  <si>
    <t>Umlage U2 (Mutterschutz)</t>
  </si>
  <si>
    <t>Umlage U3 (Insolvenzgeld)</t>
  </si>
  <si>
    <t>Arbeitnehmer-Brutto-Gehalt pro Person und Monat [EUR]</t>
  </si>
  <si>
    <t>Arbeitnehmer-Brutto-Gehalt pro Person und Monat [EUR] bei 40h</t>
  </si>
  <si>
    <t>Arbeitnehmer-Brutto-Gehalt pro Person und Jahr [EUR]</t>
  </si>
  <si>
    <t>Arbeitnehmer-Brutto-Stundenlohn [EUR]</t>
  </si>
  <si>
    <t>Minijob</t>
  </si>
  <si>
    <t>Arbeitskraftstunden brutto pro Person und Jahr [h]</t>
  </si>
  <si>
    <t>Arbeitskraftstunden netto pro Person und Jahr [h]</t>
  </si>
  <si>
    <t>Arbeitskraftstunden pro Person und Woche [h]</t>
  </si>
  <si>
    <t>Anzahl Urlaubstage pro Jahr [d] bei 2 Tagen Arbeit / Woche</t>
  </si>
  <si>
    <t>Anzahl Urlaubsstunden pro Jahr [h]</t>
  </si>
  <si>
    <t>Arbeitgeber-Brutto-Personalkosten pro Person und Stunde [EUR]</t>
  </si>
  <si>
    <t>AG Gesamt</t>
  </si>
  <si>
    <t>AG-Anteil Krankenversicherung</t>
  </si>
  <si>
    <t>AG-Anteil Rentenversicherung</t>
  </si>
  <si>
    <t>Pauschalsteuer</t>
  </si>
  <si>
    <t>Umlage 1</t>
  </si>
  <si>
    <t>Umlage 2</t>
  </si>
  <si>
    <t>Unfallversicherung</t>
  </si>
  <si>
    <t>Hilfskraft</t>
  </si>
  <si>
    <t>Administration &amp; Kommunikation</t>
  </si>
  <si>
    <t>Anmerkungen</t>
  </si>
  <si>
    <t>Das 1. Geschäftsjahr (2020/ bis 2/2021) ist ein Rumpfjahr, es dient der Mitglieder- und Kapitalgewinnung, der Bodenvorbereitung sowie dem Infrastruktur-Aufbau</t>
  </si>
  <si>
    <t>Das 1. Gemüsebaujahr (2. Geschäftsjahr) startet erst wenn ein Umsatz im Gegenwert von 60 GemüseAbonennten erreicht wird (Worst Case)</t>
  </si>
  <si>
    <t>Betriebsgrößenanalyse (exkl. Vorsteuer)</t>
  </si>
  <si>
    <t>Ziel Bieterrunde 7.2.2021</t>
  </si>
  <si>
    <t>Ziel Wachstum April 2021</t>
  </si>
  <si>
    <t>Ziel Wachstum September 2021 2021</t>
  </si>
  <si>
    <t>Ziel Wachstum Bieterrunde 22/23</t>
  </si>
  <si>
    <t>Ernteanteile - Gemüse Abonnenten</t>
  </si>
  <si>
    <t>Annahmen</t>
  </si>
  <si>
    <t>Pachtfläche [ha]</t>
  </si>
  <si>
    <t>Ackerfläche [ha]</t>
  </si>
  <si>
    <t>Baumbestand [ha]</t>
  </si>
  <si>
    <t>Anbaufläche [ha]</t>
  </si>
  <si>
    <t>Fläche Gemüse Freiland [ha]</t>
  </si>
  <si>
    <t>Fläche Kartoffeln [ha]</t>
  </si>
  <si>
    <t>Fläche geschützter Anbau [ha]</t>
  </si>
  <si>
    <t>Fläche Gründüngung [ha]</t>
  </si>
  <si>
    <t>Personalbedarf gesamt [Anzahl - in Vollzeit umgerechnet]</t>
  </si>
  <si>
    <t>Personalbedarf Gemüsebau [Anzahl - Vollzeit]</t>
  </si>
  <si>
    <t>Personalbedarf Logistikaufwand [Anzahl - Vollzeit]</t>
  </si>
  <si>
    <t>Personalbedarf Lagerpflege &amp; Kommissionierung [Anzahl Vollzeit - Minijob]</t>
  </si>
  <si>
    <t>Büro - Buchführung, Mails, Mitgliederstammdaten, Website,  [Anzahl - Vollzeit]</t>
  </si>
  <si>
    <t>Gärtnerische Arbeiten [h]</t>
  </si>
  <si>
    <t>Logistikaufwand pro Jahr Koblenz [h]</t>
  </si>
  <si>
    <t>Logistikaufwand pro Jahr Bonn [h]</t>
  </si>
  <si>
    <t>Lagerpflege &amp; Kommissionierung [h]</t>
  </si>
  <si>
    <t>Kommunikations- und Administrationsaufwand [h]</t>
  </si>
  <si>
    <t>Betriebliche Leistungen</t>
  </si>
  <si>
    <t>Umsatzerlöse Gartenbau</t>
  </si>
  <si>
    <t>Gemüse Abonnenten</t>
  </si>
  <si>
    <t>Apfelsaft</t>
  </si>
  <si>
    <t>Sonstige betriebliche Erlöse</t>
  </si>
  <si>
    <t>Umstellungs- /Beibehaltungsprämie ökologischer Gemüsebau</t>
  </si>
  <si>
    <t>Beitrag Genossen pro Jahr</t>
  </si>
  <si>
    <t>Betriebsprämie Direktzahlung</t>
  </si>
  <si>
    <t>Mieteinnahmen (6 Monate pro Jahr)</t>
  </si>
  <si>
    <t>Kontrollkostenzuschuss</t>
  </si>
  <si>
    <t>Crowdfunding</t>
  </si>
  <si>
    <t>Betriebliche Kosten</t>
  </si>
  <si>
    <t>Materialkosten</t>
  </si>
  <si>
    <t>Saat- und Pflanzgut</t>
  </si>
  <si>
    <t>Jungpflanzen</t>
  </si>
  <si>
    <t>Anzuchterde</t>
  </si>
  <si>
    <t>Pflanzenschutz</t>
  </si>
  <si>
    <t>Düngemittel</t>
  </si>
  <si>
    <t>Werkzeuge und Kleingeräte</t>
  </si>
  <si>
    <t>Zukauf: 2,5€*100*4kg*4 Wochen - laut Zukaufkalkulation Gartengruppe</t>
  </si>
  <si>
    <t>Lohnarbeit</t>
  </si>
  <si>
    <t>Grundbodenbearbeitung</t>
  </si>
  <si>
    <t>Grunddünger - Dünger und Ausbringung</t>
  </si>
  <si>
    <t>Kalkung</t>
  </si>
  <si>
    <t>Aussaat Gründüngung</t>
  </si>
  <si>
    <t>Bewässerung</t>
  </si>
  <si>
    <t>Treibstoff Traktor (Diesel) [EUR/Jahr]</t>
  </si>
  <si>
    <t>Treibstoff Transporter (Diesel) [EUR/Jahr]</t>
  </si>
  <si>
    <t>Strom für Kühlung [EUR/Jahr]</t>
  </si>
  <si>
    <t>Personalkosten</t>
  </si>
  <si>
    <t>Gärtnerische Arbeiten - (13€ pro Stunde )</t>
  </si>
  <si>
    <t>Logistikaufwand pro Jahr  [h] (9.50€ pro Stunde)</t>
  </si>
  <si>
    <t>Lagerpflege &amp; Kommissionierung [h] (9.50€ pro Stunde)</t>
  </si>
  <si>
    <t>Kommunikations- und Administrationsaufwand [h] (13€ pro Stunde)</t>
  </si>
  <si>
    <t>Berufsgenosssenschaft</t>
  </si>
  <si>
    <t>Pacht, Vers, KFZ..</t>
  </si>
  <si>
    <t>Pachtzinsen</t>
  </si>
  <si>
    <t>Holz, Gas, Strom, Wasser für Büro, Küche-, Umkleide- und Pausenbereich</t>
  </si>
  <si>
    <t>D&amp;O-Versicherung</t>
  </si>
  <si>
    <t>Versicherungskosten für Pflanzen (Hagel, Starkregen, Sturm, Frost)</t>
  </si>
  <si>
    <t>Versicherungskosten für Lagergut (Diebstahl, Vandalismus, Feuer, Sturm, Hagel)</t>
  </si>
  <si>
    <t>Versicherungskosten für Maschinen und andere Anlagen und BGA (Feuer)</t>
  </si>
  <si>
    <t>Versicherungskosten für Gewächshäuser</t>
  </si>
  <si>
    <t>Betriebshaftpflichtversicherung</t>
  </si>
  <si>
    <t>Beiträge (Landwirtschaftskammer, Naturland,..)</t>
  </si>
  <si>
    <t>Kfz-Versicherung</t>
  </si>
  <si>
    <t>Kfz-Transporter Unterhaltskosten</t>
  </si>
  <si>
    <t>Reparatur und Instandhaltung von Heizanlagen</t>
  </si>
  <si>
    <t>Werbung</t>
  </si>
  <si>
    <t>Repräsentationskosten (Druckerzeugnisse)</t>
  </si>
  <si>
    <t>Bürobedarf</t>
  </si>
  <si>
    <t>Telefon- und Internetkosten</t>
  </si>
  <si>
    <t>Nebenkosten des Geldverkehrs</t>
  </si>
  <si>
    <t>Fortbildungskosten</t>
  </si>
  <si>
    <t>Reise- und Bewirtungskosten</t>
  </si>
  <si>
    <t>Rechts- und Beratungskosten</t>
  </si>
  <si>
    <t>Abschluss- und Prüfungskosten</t>
  </si>
  <si>
    <t>Buchführungskosten</t>
  </si>
  <si>
    <t>Abraum und Abfallbeseitigungskosten</t>
  </si>
  <si>
    <t>Betriebsgebäude 430qm? - später</t>
  </si>
  <si>
    <t>Abpackraum [EUR/Monat]</t>
  </si>
  <si>
    <t>Sanitär + Umkleideraum: 46 qm [EUR/Monat]</t>
  </si>
  <si>
    <t>Wohnung [EUR/Monat]</t>
  </si>
  <si>
    <t>Abgaben für betrieblich genutzten Grundbesitz (Grundsteuer A)</t>
  </si>
  <si>
    <t>Betriebsergebnis (EBIT)</t>
  </si>
  <si>
    <t>Zinsen</t>
  </si>
  <si>
    <t>Ergebnis der gewöhnlichen Geschäftstätigkeit</t>
  </si>
  <si>
    <t>Körperschaftssteuer 15%</t>
  </si>
  <si>
    <t>Solidaritätszuschlag 5,5%</t>
  </si>
  <si>
    <t>Jahresüberschuss/-fehlbetrag</t>
  </si>
  <si>
    <t>Rückstellung Kreditzahlung Tilgung auf 10 Jahre bei 60 TSD</t>
  </si>
  <si>
    <t>Rückstellung Lohnanpassung Gartenteam und Geschäftsführung</t>
  </si>
  <si>
    <t>Kapitalbedarfsplanung (inkl. Vorsteuer)</t>
  </si>
  <si>
    <t>Investitionen</t>
  </si>
  <si>
    <t>Grundstücke</t>
  </si>
  <si>
    <t>Ausbau Aufenthaltsraum, Heizung, Elektro, Wasser</t>
  </si>
  <si>
    <t>mobile Bauten auf Pachtland</t>
  </si>
  <si>
    <t>Technische Anlagen und Maschinen</t>
  </si>
  <si>
    <t>Sonstige Anlagen, Betriebs- und Geschäftsausstattung</t>
  </si>
  <si>
    <t>Hilfsmittel</t>
  </si>
  <si>
    <t>Vorsteuer für Investition</t>
  </si>
  <si>
    <t>Reserve (15%)</t>
  </si>
  <si>
    <t>Kapitalbedarf gesamt</t>
  </si>
  <si>
    <t>Plan GuV (exkl. Vorsteuer)</t>
  </si>
  <si>
    <t>September</t>
  </si>
  <si>
    <t>Oktober</t>
  </si>
  <si>
    <t>November</t>
  </si>
  <si>
    <t>Dezember</t>
  </si>
  <si>
    <t>Summe</t>
  </si>
  <si>
    <t>Q1</t>
  </si>
  <si>
    <t>Q2</t>
  </si>
  <si>
    <t>Q3</t>
  </si>
  <si>
    <t>Q4</t>
  </si>
  <si>
    <t>Betriebliche Erträge</t>
  </si>
  <si>
    <t>Betriebliche Aufwendungen</t>
  </si>
  <si>
    <t>Materialaufwand</t>
  </si>
  <si>
    <t>Reparatur und Energie</t>
  </si>
  <si>
    <t>Beregnung (aus eigenem Brunnen)</t>
  </si>
  <si>
    <t>Personalaufwand</t>
  </si>
  <si>
    <t>Gehälter inkl. AG-SV-Beiträge und Umlagen</t>
  </si>
  <si>
    <t>Berufsgenossenschaft</t>
  </si>
  <si>
    <t>Kalkulatorische Abschreibungen</t>
  </si>
  <si>
    <t>Sonstige betriebliche Aufwendungen</t>
  </si>
  <si>
    <t>Jahresüberschuss/ - fehlbetrag</t>
  </si>
  <si>
    <t>Plan Bilanz</t>
  </si>
  <si>
    <t>Aktiva</t>
  </si>
  <si>
    <t>A. Anlagevermögen</t>
  </si>
  <si>
    <t>I. Sachanlagen</t>
  </si>
  <si>
    <t>1. Grundstücke, grundstücksgleiche Rechte und Bauten</t>
  </si>
  <si>
    <t>1. Ausbau Infrastruktur</t>
  </si>
  <si>
    <t>2. mobile Bauten auf Pachtland</t>
  </si>
  <si>
    <t>3. Technische Anlagen und Maschinen</t>
  </si>
  <si>
    <t>4. Andere Anlagen, Betriebs- und Geschäftsausstattung</t>
  </si>
  <si>
    <t>B. Umlaufvermögen</t>
  </si>
  <si>
    <t>I. Bankguthaben</t>
  </si>
  <si>
    <t>Summe Aktiva</t>
  </si>
  <si>
    <t>Passiva</t>
  </si>
  <si>
    <t>A. Eigenkapital</t>
  </si>
  <si>
    <t>I. Geschäftsguthaben</t>
  </si>
  <si>
    <t>II. Ergebnisrücklagen</t>
  </si>
  <si>
    <t>III. Bilanzgewinn/-verlust</t>
  </si>
  <si>
    <t>B. Verbindlichkeiten</t>
  </si>
  <si>
    <t>Summe Passiva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</si>
  <si>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</si>
  <si>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</si>
  <si>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</si>
  <si>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</si>
  <si>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</si>
  <si>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</si>
  <si>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</si>
  <si>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</si>
  <si>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Pflanzgut (100 Anteile)</t>
  </si>
  <si>
    <t>KW (Lieferwoche)</t>
  </si>
  <si>
    <t>Anzahl</t>
  </si>
  <si>
    <t>Preis</t>
  </si>
  <si>
    <t>Feldsalat</t>
  </si>
  <si>
    <t>Zucchini</t>
  </si>
  <si>
    <t>Kopfsalat</t>
  </si>
  <si>
    <t>Batavia</t>
  </si>
  <si>
    <t>Kohlrabi</t>
  </si>
  <si>
    <t>Blumenkohl</t>
  </si>
  <si>
    <t>Brokkoli</t>
  </si>
  <si>
    <t>Petersilie</t>
  </si>
  <si>
    <t>Mangold</t>
  </si>
  <si>
    <t>Spitzkohl</t>
  </si>
  <si>
    <t>Pak Choi</t>
  </si>
  <si>
    <t>Krulsalat</t>
  </si>
  <si>
    <t>Tomaten (Goldiana)</t>
  </si>
  <si>
    <t>Tomaten (Avalantino)</t>
  </si>
  <si>
    <t>Tomaten (Piccolino)</t>
  </si>
  <si>
    <t>Tomaten (Cheramy)</t>
  </si>
  <si>
    <t>Kräuter</t>
  </si>
  <si>
    <t>Chinakohl</t>
  </si>
  <si>
    <t>Lollo</t>
  </si>
  <si>
    <t>Fenchel (Orion)</t>
  </si>
  <si>
    <t>Grünkohl</t>
  </si>
  <si>
    <t>Sellerie</t>
  </si>
  <si>
    <t>Fenchel (Solaris)</t>
  </si>
  <si>
    <t>Rosenkohl</t>
  </si>
  <si>
    <t>Porree</t>
  </si>
  <si>
    <t>Gurken</t>
  </si>
  <si>
    <t>Paprika</t>
  </si>
  <si>
    <t>Salanova</t>
  </si>
  <si>
    <t>Endivien</t>
  </si>
  <si>
    <t>Wirsing</t>
  </si>
  <si>
    <t>Feldsalat (kl)</t>
  </si>
  <si>
    <t>Winterpostelein (gr)</t>
  </si>
  <si>
    <t>Winterpostelein (kl)</t>
  </si>
  <si>
    <t>Feldsalat (gr)</t>
  </si>
  <si>
    <t>Saatgut (100 Anteile)</t>
  </si>
  <si>
    <t>Asiasalat</t>
  </si>
  <si>
    <t>Februar ?</t>
  </si>
  <si>
    <t>Basilikum</t>
  </si>
  <si>
    <t>Bundmoehren</t>
  </si>
  <si>
    <t>Buschbohnen</t>
  </si>
  <si>
    <t>Dill</t>
  </si>
  <si>
    <t>Knoblauch</t>
  </si>
  <si>
    <t>Koriander</t>
  </si>
  <si>
    <t>Kuerbis</t>
  </si>
  <si>
    <t>Mangold (DIrektsaat)</t>
  </si>
  <si>
    <t>Rote Beete</t>
  </si>
  <si>
    <t>Rote Beete (Bund)</t>
  </si>
  <si>
    <t>Spinat herbst</t>
  </si>
  <si>
    <t>Spinat Winter</t>
  </si>
  <si>
    <t>Stangenbohnen</t>
  </si>
  <si>
    <t>Zuckererbsen</t>
  </si>
  <si>
    <t>Zuckermais</t>
  </si>
  <si>
    <t>Bundzwiebeln gelb</t>
  </si>
  <si>
    <t>Bundzwiebeln rot</t>
  </si>
  <si>
    <t>Zahlenbasis Daten von Rico aus Dezember 2020</t>
  </si>
  <si>
    <t>Umsatzplanung</t>
  </si>
  <si>
    <t>Anzahl neue Gemüse Abonennten</t>
  </si>
  <si>
    <t>Anzahl GemüseAbonnenten</t>
  </si>
  <si>
    <t>Umsatz Netto / Monat</t>
  </si>
  <si>
    <t>Gesamtumsatz Netto / Monat</t>
  </si>
  <si>
    <t>Anzahl Gastronomien</t>
  </si>
  <si>
    <t>Monatlicher Durchschnittswert</t>
  </si>
  <si>
    <t>Solawi Katringer Grünzeug eG</t>
  </si>
  <si>
    <t>Investitionsobjekt</t>
  </si>
  <si>
    <t>Beschreibung</t>
  </si>
  <si>
    <t>Investitionssumme 2020</t>
  </si>
  <si>
    <t>Investitionssumme 2021</t>
  </si>
  <si>
    <t>Investitionssumme 2022</t>
  </si>
  <si>
    <t>Zustand</t>
  </si>
  <si>
    <t>ND in Jahren</t>
  </si>
  <si>
    <t>AfA</t>
  </si>
  <si>
    <t>RBW</t>
  </si>
  <si>
    <t>Ackerland</t>
  </si>
  <si>
    <t>Kaufen von Ackerland</t>
  </si>
  <si>
    <t>irgendwann?</t>
  </si>
  <si>
    <t>Kauf</t>
  </si>
  <si>
    <t>Ausbau Infrastruktur</t>
  </si>
  <si>
    <t>-</t>
  </si>
  <si>
    <t>gebraucht</t>
  </si>
  <si>
    <t>Ausbau Aufenthaltsraum</t>
  </si>
  <si>
    <t>incl. mobile Heizung</t>
  </si>
  <si>
    <t>Elektro und Wasseranschluss</t>
  </si>
  <si>
    <t>Gewächshäuser, Bauwägen, Maschinenunterstand, Wildschutzzaun</t>
  </si>
  <si>
    <t>neu &amp; gebraucht</t>
  </si>
  <si>
    <t>10 - 20</t>
  </si>
  <si>
    <t>Gewächshäuser inkl. Zubehör &amp; Aufbau</t>
  </si>
  <si>
    <t>1 Gewächshaus ca. 10x50m, Anzuchtgewächshaus 10 x 20m gebraucht</t>
  </si>
  <si>
    <t>neu</t>
  </si>
  <si>
    <t>Gewächshäuser 1</t>
  </si>
  <si>
    <t>Filclair 930 CR, 9,30 m x 69 m</t>
  </si>
  <si>
    <t>Nebenkosten des Aufbaus</t>
  </si>
  <si>
    <t>Monteur, Spedition, Aufmerksamkeiten</t>
  </si>
  <si>
    <t>Gewächshäuser 2</t>
  </si>
  <si>
    <t>Filclair 930 CR, 9,30 m x 49 m</t>
  </si>
  <si>
    <t>Nebenkosten des Aufbaus Haus 2</t>
  </si>
  <si>
    <t>Material Ausbau Anzuchtgewächshaus</t>
  </si>
  <si>
    <t>Heizmatzten, Arbeitstische,..</t>
  </si>
  <si>
    <t>Sozialraum, WC, Dusche, Büro Einbauten</t>
  </si>
  <si>
    <t>1 x Büro-&amp;Aufenthaltsraum, 1 x Dusche -WC Einbauten im Stallgebäude</t>
  </si>
  <si>
    <t xml:space="preserve">Provisorische Erstellung Dusche/ WC </t>
  </si>
  <si>
    <t>Fliesen, Sanitäreinrichtung - Material über S&amp;T, Einbau von uns gemeinsam</t>
  </si>
  <si>
    <t>Teilhabe</t>
  </si>
  <si>
    <t>Büro- und Aufenthalts-Bauwagen</t>
  </si>
  <si>
    <t>Büro, Aufenthaltsraum, Küche inkl. Terrasse, Ofen, Sonnensegel, wetterfeste Tische und Stühle, Sitzgruppe und Anlieferung</t>
  </si>
  <si>
    <t>PE-Leitung eingegraben, Pumpe an der Grube</t>
  </si>
  <si>
    <t>Pumpe</t>
  </si>
  <si>
    <t>Einspeisen aus Dachbewässerung, Brunnen</t>
  </si>
  <si>
    <t>PE-Leitung und Kupplungen</t>
  </si>
  <si>
    <t>Güllegrube mit ca. 900m3</t>
  </si>
  <si>
    <t>Fliegende Bewässerungsleitungen</t>
  </si>
  <si>
    <t>Alu-Bewässerung laut Aufstellung für 2,5ha</t>
  </si>
  <si>
    <t>Güllegrube leeren, reinigen, Betondecke ergänzen</t>
  </si>
  <si>
    <t>Beton, Bewehrung, Schalung geschätzt</t>
  </si>
  <si>
    <t>Kühlcontainer</t>
  </si>
  <si>
    <t>Kühlzelle incl. Einbau (5m x 6m x 2,50)</t>
  </si>
  <si>
    <t>Wildschutzzaun ca. 750 lfm</t>
  </si>
  <si>
    <t>Zaunbau (Stahlpfähle alle 4 m und 2,0 m Forstzaun) 5.000,- € incl. Aufbau und Material
(3,60€/m Material und 1,04 €/m
Aufbau (2 AK + 1 Schlepper))</t>
  </si>
  <si>
    <t>Anbau-, Bewässerungs- und Lagertechnik</t>
  </si>
  <si>
    <t>5 - 12</t>
  </si>
  <si>
    <t>Schlepper für Transporte, Pflanz- und Pflegearbeiten</t>
  </si>
  <si>
    <t>Schlepper plus Bereifung</t>
  </si>
  <si>
    <t>Anbaumaschinen</t>
  </si>
  <si>
    <t>Säh-, Pflanz-, Hackmaschine, Pflug, Striegel, Mulcher, Fräse u.a.</t>
  </si>
  <si>
    <t>gebraucht &amp; neu</t>
  </si>
  <si>
    <t>Anhänger</t>
  </si>
  <si>
    <t>Einfacher Anhänger für internen Transport / 4m L - 2m B</t>
  </si>
  <si>
    <t>Kultivator oder Federzinken-Egge</t>
  </si>
  <si>
    <t>3,50m AB</t>
  </si>
  <si>
    <t>Scheibenegge</t>
  </si>
  <si>
    <t>2,50m AB</t>
  </si>
  <si>
    <t>Grubber, Grubber schmal, Krümelwalze, Cambridwalze,</t>
  </si>
  <si>
    <t>1,5m AB</t>
  </si>
  <si>
    <t>Dammformer</t>
  </si>
  <si>
    <t>75cm Reihenabstand / 4-reihig</t>
  </si>
  <si>
    <t>Lenkhäufler, Lenkhacke</t>
  </si>
  <si>
    <t>3,5m AB</t>
  </si>
  <si>
    <t>Sähmaschine - Basi…</t>
  </si>
  <si>
    <t>verstellbarer Reihenabstand / Typ Sembdner / 2-reihig</t>
  </si>
  <si>
    <t>Pflanzmaschine</t>
  </si>
  <si>
    <t>Accord / 75 cm Reihenabstand / 2reihig</t>
  </si>
  <si>
    <t>Saatbeetkombi</t>
  </si>
  <si>
    <t>75 cm Reihenabstand / 2-reihig / Heckanbringung / lenkbar</t>
  </si>
  <si>
    <t>Mulcher / Schlegelmulcher</t>
  </si>
  <si>
    <t>Siebkettenroder - Kartoffelernter?</t>
  </si>
  <si>
    <t>1,5m Radabstand / Siebkettenroder Lanz VR2</t>
  </si>
  <si>
    <t>Einachsschlepper/Fräse</t>
  </si>
  <si>
    <t>Kleingeräte - Driller, Düngestreuer,</t>
  </si>
  <si>
    <t>stationäre Bewässerungstechnik für geschützten Anbau = Gewächshaus</t>
  </si>
  <si>
    <t>PVC-Rohr mit Rundsprühdüsen, Zuleitungen</t>
  </si>
  <si>
    <t>Ernte, Regenrohre</t>
  </si>
  <si>
    <t>Logistikmaschinen</t>
  </si>
  <si>
    <t>Sortiermaschine, Hubwagen, Handgabelstapler</t>
  </si>
  <si>
    <t>Handgabelstapler</t>
  </si>
  <si>
    <t>Hubwagen(Ameise), Traglast 1t - Elektro</t>
  </si>
  <si>
    <t>Kommissonierungs-Gemüsewaage</t>
  </si>
  <si>
    <t>2 Stück</t>
  </si>
  <si>
    <t>Heckcontainer,</t>
  </si>
  <si>
    <t>Transporter</t>
  </si>
  <si>
    <t>Elektroauto zum Transport der Gemüsekisten - Leaderprojekt</t>
  </si>
  <si>
    <t>neu Leader</t>
  </si>
  <si>
    <t>Handgeräte, Werkzeuge, Raumeinrichtung,en Hilfsstoffe</t>
  </si>
  <si>
    <t>3 - 10</t>
  </si>
  <si>
    <t>Handgeräte, Werkzeuge, Arbeitskleidung</t>
  </si>
  <si>
    <t>Hacken ua., Schraubenschlüssel u.a. Regenkleidung</t>
  </si>
  <si>
    <t>neu/gebraucht</t>
  </si>
  <si>
    <t>3 - 5</t>
  </si>
  <si>
    <t>Handgeräte</t>
  </si>
  <si>
    <t>Hacken, Schaufeln, Gabeln, Karren, Wannen</t>
  </si>
  <si>
    <t>Werkzeuge und Werkzeugausstattung</t>
  </si>
  <si>
    <t>Schraubenschlüssel, Hämmer, Sägen, Flex, Werkbank, Ordnungssystem u.a.</t>
  </si>
  <si>
    <t>Arbeitskleidung</t>
  </si>
  <si>
    <t>5 x Gummistifel, 5x Regenjacken, 5x Regenhosen</t>
  </si>
  <si>
    <t>Freischneider</t>
  </si>
  <si>
    <t>1 Benzin Freischneider</t>
  </si>
  <si>
    <t>Kommisionierung Lager &amp; Packraum</t>
  </si>
  <si>
    <t>Gemüsekisten für 200 Anteile = 240 Kisten</t>
  </si>
  <si>
    <t>Möbel, Laptops, Smartphones, Multifunktionsgerät</t>
  </si>
  <si>
    <t>1x Tisch, 4x Stühle, 2x Laptops, 4xSmartphones, 1x Multifunktionsgerät</t>
  </si>
  <si>
    <t>Büromöbel</t>
  </si>
  <si>
    <t>1x Tisch, 4x Stühle</t>
  </si>
  <si>
    <t>Laptops inkl. Tasche</t>
  </si>
  <si>
    <t>Smartphones inkl. Schutzplatte &amp; Tasche</t>
  </si>
  <si>
    <t>Multifunktionsgerät (Drucker, Scanner, Kopierer, Fax)</t>
  </si>
  <si>
    <t>Kistensysteme (Jungpflanzenanzucht, Ernte, Logistik und Lagerung)</t>
  </si>
  <si>
    <t>EPT-Anzuchtkisten, Napf-Logistikkisten, Kartoffelvorkeimkisten, Palbox-Lagerkisten</t>
  </si>
  <si>
    <t>Waschplatzeinrichtungen, Kulturschutznetze,</t>
  </si>
  <si>
    <t>5 - 10</t>
  </si>
  <si>
    <t>Arbeitsbereich (Aufbereitung- und Kommissionierungsort)</t>
  </si>
  <si>
    <t>Wanne, Tische, Waschtrommel</t>
  </si>
  <si>
    <t>Kulturschutznetze</t>
  </si>
  <si>
    <t>1,35 mm x 1,35 mm; 0,8 mm x 0,8 mm für Lauch</t>
  </si>
  <si>
    <t>3 - 20</t>
  </si>
  <si>
    <t>Löhne, Kontogebühren, Einlagen ergänzen</t>
  </si>
  <si>
    <t>Planung 100 EA</t>
  </si>
  <si>
    <t>110 EA</t>
  </si>
  <si>
    <t>120 EA</t>
  </si>
  <si>
    <t>130 EA</t>
  </si>
  <si>
    <t>140 EA</t>
  </si>
  <si>
    <t>150 EA</t>
  </si>
  <si>
    <t>Aug</t>
  </si>
  <si>
    <t>Einzahlungen</t>
  </si>
  <si>
    <t>Gemüse Abonennten</t>
  </si>
  <si>
    <t>Apfelsaftverkauf</t>
  </si>
  <si>
    <t>Mitgliederbeitrag einmalig</t>
  </si>
  <si>
    <t>Spende</t>
  </si>
  <si>
    <t>Umsatzsteuer für Umsatzerlöse und Sonstige betriebliche Erlöse</t>
  </si>
  <si>
    <t>Auszahlungen</t>
  </si>
  <si>
    <t>Gemüsezukauf</t>
  </si>
  <si>
    <t>Sonstige betriebliche Kosten</t>
  </si>
  <si>
    <t>Instandhaltung/ Anschaffungen</t>
  </si>
  <si>
    <t>Vorsteuer für Materialkosten und Sonstige betriebliche Kosten</t>
  </si>
  <si>
    <t>Kredittilgung</t>
  </si>
  <si>
    <t>Vorsteuer für Investitionen</t>
  </si>
  <si>
    <t>Einkommens- und Gewerbesteuer</t>
  </si>
  <si>
    <t>Ust.-Zahlungen/-erstattungen</t>
  </si>
  <si>
    <t>Liquiditätssalod I</t>
  </si>
  <si>
    <t>Einzahlungen Geschäftsguthaben (EK)</t>
  </si>
  <si>
    <t>Einzahlungen Mitglieder-Darlehen</t>
  </si>
  <si>
    <t>spenden</t>
  </si>
  <si>
    <t>Liquiditätssaldo II</t>
  </si>
  <si>
    <t>Kontostand</t>
  </si>
  <si>
    <t>Vorlaufkosten mai -juni</t>
  </si>
  <si>
    <t>Mitglieder- und Einlagenentwicklung</t>
  </si>
  <si>
    <t>Netto-Mitgliederzugang</t>
  </si>
  <si>
    <t>Mitglieder insgesamt</t>
  </si>
  <si>
    <t>Einzahlungen auf Genossenschaftsanteile</t>
  </si>
  <si>
    <t>Genossenschaftsanteile gesamt</t>
  </si>
  <si>
    <t>durschnittl. Genossenschaftsanteile pro Mitglied</t>
  </si>
  <si>
    <t>Beitragsgelder</t>
  </si>
  <si>
    <t>Einlagen- und Mitgliederstreuung 1. Geschäftsjahr (2021)</t>
  </si>
  <si>
    <t>Einlagenklasse</t>
  </si>
  <si>
    <t>Mitgliederanzahl je Einlagenklasse</t>
  </si>
  <si>
    <t>Gesamteinlagen je Einlagenklasse</t>
  </si>
  <si>
    <t>relativer Mitgliederanteil je Einlagenklasse</t>
  </si>
  <si>
    <t>relativer Einlagenanteil je Einlagenklasse</t>
  </si>
  <si>
    <t>gesamt</t>
  </si>
  <si>
    <t>durchschnitt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</si>
</sst>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[$-407]General"/>
    <numFmt numFmtId="165" formatCode="_-* #,##0.00\ [$€-407]_-;\-* #,##0.00\ [$€-407]_-;_-* &quot;-&quot;??\ [$€-407]_-;_-@"/>
    <numFmt numFmtId="166" formatCode="[$€-407]#,##0"/>
    <numFmt numFmtId="167" formatCode="0.0"/>
    <numFmt numFmtId="168" formatCode="[$-407]0.00"/>
    <numFmt numFmtId="169" formatCode="[$-407]0"/>
    <numFmt numFmtId="170" formatCode="[$-407]#,##0"/>
    <numFmt numFmtId="171" formatCode="#,##0.00\ [$€-1]"/>
    <numFmt numFmtId="172" formatCode="[$€-407]#,##0.00"/>
    <numFmt numFmtId="173" formatCode="[$€-407]#,##0.0"/>
    <numFmt numFmtId="174" formatCode="m&quot;.&quot;d&quot;.&quot;yyyy"/>
    <numFmt numFmtId="175" formatCode="[$-407]0.00%"/>
  </numFmts>
  <fonts count="32">
    <font>
      <sz val="11.0"/>
      <color theme="1"/>
      <name val="Arial"/>
    </font>
    <font>
      <sz val="10.0"/>
      <color rgb="FF000000"/>
      <name val="Arial"/>
    </font>
    <font>
      <b/>
      <sz val="14.0"/>
      <color rgb="FF000000"/>
      <name val="Arial"/>
    </font>
    <font>
      <b/>
      <sz val="11.0"/>
      <color theme="1"/>
      <name val="Arial"/>
    </font>
    <font>
      <sz val="11.0"/>
      <color rgb="FF000000"/>
      <name val="Arial"/>
    </font>
    <font>
      <b/>
      <sz val="10.0"/>
      <color rgb="FF000000"/>
      <name val="Arial"/>
    </font>
    <font>
      <sz val="11.0"/>
      <color rgb="FF222222"/>
      <name val="Arial"/>
    </font>
    <font>
      <sz val="10.0"/>
      <color rgb="FF000000"/>
      <name val="Arial1"/>
    </font>
    <font>
      <sz val="10.0"/>
      <color rgb="FF999999"/>
      <name val="Arial"/>
    </font>
    <font>
      <b/>
      <sz val="14.0"/>
      <color rgb="FF000000"/>
      <name val="Roboto"/>
    </font>
    <font>
      <b/>
      <sz val="12.0"/>
      <color rgb="FF000000"/>
      <name val="Arial1"/>
    </font>
    <font>
      <b/>
      <i/>
      <sz val="12.0"/>
      <color rgb="FF000000"/>
      <name val="Arial"/>
    </font>
    <font>
      <i/>
      <sz val="12.0"/>
      <color rgb="FF000000"/>
      <name val="Arial"/>
    </font>
    <font>
      <i/>
      <sz val="12.0"/>
      <color rgb="FFFF0000"/>
      <name val="Arial"/>
    </font>
    <font>
      <sz val="11.0"/>
      <color theme="1"/>
      <name val="Calibri"/>
    </font>
    <font/>
    <font>
      <b/>
      <sz val="11.0"/>
      <color rgb="FF000000"/>
      <name val="Arial"/>
    </font>
    <font>
      <sz val="10.0"/>
      <color theme="1"/>
      <name val="Arial"/>
    </font>
    <font>
      <i/>
      <sz val="11.0"/>
      <color rgb="FF000000"/>
      <name val="Arial"/>
    </font>
    <font>
      <i/>
      <sz val="11.0"/>
      <color theme="1"/>
      <name val="Arial"/>
    </font>
    <font>
      <sz val="12.0"/>
      <color rgb="FF000000"/>
      <name val="Arial"/>
    </font>
    <font>
      <b/>
      <sz val="12.0"/>
      <color rgb="FF000000"/>
      <name val="Arial"/>
    </font>
    <font>
      <b/>
      <sz val="14.0"/>
      <color rgb="FFFF0000"/>
      <name val="Calibri"/>
    </font>
    <font>
      <b/>
      <sz val="11.0"/>
      <color theme="1"/>
      <name val="Calibri"/>
    </font>
    <font>
      <i/>
      <sz val="10.0"/>
      <color rgb="FF000000"/>
      <name val="Roboto"/>
    </font>
    <font>
      <b/>
      <i/>
      <sz val="12.0"/>
      <color rgb="FF000000"/>
      <name val="Roboto"/>
    </font>
    <font>
      <i/>
      <sz val="12.0"/>
      <color rgb="FF000000"/>
      <name val="Roboto"/>
    </font>
    <font>
      <b/>
      <i/>
      <sz val="11.0"/>
      <color rgb="FF000000"/>
      <name val="Arial"/>
    </font>
    <font>
      <b/>
      <sz val="10.0"/>
      <color rgb="FF000000"/>
      <name val="Arial1"/>
    </font>
    <font>
      <sz val="10.0"/>
      <color rgb="FFFF0000"/>
      <name val="Arial"/>
    </font>
    <font>
      <b/>
      <sz val="10.0"/>
      <color rgb="FFFF0000"/>
      <name val="Arial"/>
    </font>
    <font>
      <sz val="10.0"/>
      <color rgb="FF000000"/>
      <name val="Calibri"/>
    </font>
  </fonts>
  <fills count="2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4CCCC"/>
        <bgColor rgb="FFF4CCCC"/>
      </patternFill>
    </fill>
    <fill>
      <patternFill patternType="solid">
        <fgColor theme="5"/>
        <bgColor theme="5"/>
      </patternFill>
    </fill>
    <fill>
      <patternFill patternType="solid">
        <fgColor rgb="FFF1C232"/>
        <bgColor rgb="FFF1C232"/>
      </patternFill>
    </fill>
    <fill>
      <patternFill patternType="solid">
        <fgColor rgb="FFEA9999"/>
        <bgColor rgb="FFEA9999"/>
      </patternFill>
    </fill>
    <fill>
      <patternFill patternType="solid">
        <fgColor rgb="FFF4B183"/>
        <bgColor rgb="FFF4B183"/>
      </patternFill>
    </fill>
    <fill>
      <patternFill patternType="solid">
        <fgColor rgb="FF6AA84F"/>
        <bgColor rgb="FF6AA84F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FFF2CC"/>
        <bgColor rgb="FFFFF2CC"/>
      </patternFill>
    </fill>
    <fill>
      <patternFill patternType="solid">
        <fgColor rgb="FFF4B083"/>
        <bgColor rgb="FFF4B083"/>
      </patternFill>
    </fill>
    <fill>
      <patternFill patternType="solid">
        <fgColor rgb="FFA6A6A6"/>
        <bgColor rgb="FFA6A6A6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</fills>
  <borders count="18">
    <border/>
    <border>
      <left/>
      <right/>
      <top/>
      <bottom/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3" numFmtId="0" xfId="0" applyFont="1"/>
    <xf borderId="0" fillId="0" fontId="4" numFmtId="164" xfId="0" applyFont="1" applyNumberFormat="1"/>
    <xf borderId="0" fillId="0" fontId="5" numFmtId="164" xfId="0" applyFont="1" applyNumberFormat="1"/>
    <xf borderId="1" fillId="2" fontId="6" numFmtId="164" xfId="0" applyBorder="1" applyFill="1" applyFont="1" applyNumberFormat="1"/>
    <xf borderId="0" fillId="0" fontId="1" numFmtId="165" xfId="0" applyAlignment="1" applyFont="1" applyNumberFormat="1">
      <alignment horizontal="right"/>
    </xf>
    <xf borderId="1" fillId="3" fontId="1" numFmtId="164" xfId="0" applyAlignment="1" applyBorder="1" applyFill="1" applyFont="1" applyNumberFormat="1">
      <alignment readingOrder="0"/>
    </xf>
    <xf borderId="1" fillId="3" fontId="1" numFmtId="165" xfId="0" applyAlignment="1" applyBorder="1" applyFont="1" applyNumberFormat="1">
      <alignment horizontal="right"/>
    </xf>
    <xf borderId="1" fillId="3" fontId="1" numFmtId="164" xfId="0" applyBorder="1" applyFont="1" applyNumberFormat="1"/>
    <xf borderId="0" fillId="0" fontId="1" numFmtId="166" xfId="0" applyAlignment="1" applyFont="1" applyNumberFormat="1">
      <alignment horizontal="center"/>
    </xf>
    <xf borderId="0" fillId="0" fontId="7" numFmtId="164" xfId="0" applyFont="1" applyNumberFormat="1"/>
    <xf borderId="0" fillId="0" fontId="1" numFmtId="164" xfId="0" applyAlignment="1" applyFont="1" applyNumberFormat="1">
      <alignment shrinkToFit="0" wrapText="1"/>
    </xf>
    <xf borderId="0" fillId="0" fontId="1" numFmtId="2" xfId="0" applyAlignment="1" applyFont="1" applyNumberFormat="1">
      <alignment horizontal="right"/>
    </xf>
    <xf borderId="0" fillId="0" fontId="1" numFmtId="167" xfId="0" applyAlignment="1" applyFont="1" applyNumberFormat="1">
      <alignment horizontal="left"/>
    </xf>
    <xf borderId="1" fillId="4" fontId="1" numFmtId="2" xfId="0" applyAlignment="1" applyBorder="1" applyFill="1" applyFont="1" applyNumberFormat="1">
      <alignment horizontal="right"/>
    </xf>
    <xf borderId="1" fillId="4" fontId="1" numFmtId="165" xfId="0" applyAlignment="1" applyBorder="1" applyFont="1" applyNumberFormat="1">
      <alignment horizontal="right"/>
    </xf>
    <xf borderId="0" fillId="0" fontId="8" numFmtId="164" xfId="0" applyFont="1" applyNumberFormat="1"/>
    <xf borderId="0" fillId="0" fontId="0" numFmtId="165" xfId="0" applyAlignment="1" applyFont="1" applyNumberFormat="1">
      <alignment horizontal="right"/>
    </xf>
    <xf borderId="0" fillId="0" fontId="9" numFmtId="164" xfId="0" applyAlignment="1" applyFont="1" applyNumberFormat="1">
      <alignment vertical="center"/>
    </xf>
    <xf borderId="0" fillId="0" fontId="10" numFmtId="164" xfId="0" applyAlignment="1" applyFont="1" applyNumberFormat="1">
      <alignment shrinkToFit="0" wrapText="1"/>
    </xf>
    <xf borderId="2" fillId="5" fontId="2" numFmtId="168" xfId="0" applyBorder="1" applyFill="1" applyFont="1" applyNumberFormat="1"/>
    <xf borderId="2" fillId="5" fontId="1" numFmtId="168" xfId="0" applyBorder="1" applyFont="1" applyNumberFormat="1"/>
    <xf borderId="2" fillId="5" fontId="5" numFmtId="168" xfId="0" applyBorder="1" applyFont="1" applyNumberFormat="1"/>
    <xf borderId="0" fillId="0" fontId="1" numFmtId="168" xfId="0" applyFont="1" applyNumberFormat="1"/>
    <xf borderId="1" fillId="6" fontId="1" numFmtId="168" xfId="0" applyBorder="1" applyFill="1" applyFont="1" applyNumberFormat="1"/>
    <xf borderId="1" fillId="6" fontId="1" numFmtId="164" xfId="0" applyBorder="1" applyFont="1" applyNumberFormat="1"/>
    <xf borderId="1" fillId="6" fontId="1" numFmtId="167" xfId="0" applyBorder="1" applyFont="1" applyNumberFormat="1"/>
    <xf borderId="0" fillId="0" fontId="1" numFmtId="169" xfId="0" applyFont="1" applyNumberFormat="1"/>
    <xf borderId="0" fillId="0" fontId="1" numFmtId="167" xfId="0" applyFont="1" applyNumberFormat="1"/>
    <xf borderId="1" fillId="6" fontId="1" numFmtId="169" xfId="0" applyBorder="1" applyFont="1" applyNumberFormat="1"/>
    <xf borderId="0" fillId="0" fontId="1" numFmtId="170" xfId="0" applyFont="1" applyNumberFormat="1"/>
    <xf borderId="3" fillId="5" fontId="11" numFmtId="164" xfId="0" applyBorder="1" applyFont="1" applyNumberFormat="1"/>
    <xf borderId="3" fillId="5" fontId="11" numFmtId="166" xfId="0" applyBorder="1" applyFont="1" applyNumberFormat="1"/>
    <xf borderId="4" fillId="0" fontId="12" numFmtId="166" xfId="0" applyBorder="1" applyFont="1" applyNumberFormat="1"/>
    <xf borderId="3" fillId="6" fontId="12" numFmtId="166" xfId="0" applyBorder="1" applyFont="1" applyNumberFormat="1"/>
    <xf borderId="0" fillId="0" fontId="12" numFmtId="164" xfId="0" applyFont="1" applyNumberFormat="1"/>
    <xf borderId="0" fillId="0" fontId="5" numFmtId="166" xfId="0" applyFont="1" applyNumberFormat="1"/>
    <xf borderId="1" fillId="6" fontId="5" numFmtId="166" xfId="0" applyBorder="1" applyFont="1" applyNumberFormat="1"/>
    <xf borderId="0" fillId="0" fontId="1" numFmtId="166" xfId="0" applyFont="1" applyNumberFormat="1"/>
    <xf borderId="1" fillId="6" fontId="1" numFmtId="166" xfId="0" applyBorder="1" applyFont="1" applyNumberFormat="1"/>
    <xf borderId="1" fillId="7" fontId="5" numFmtId="166" xfId="0" applyBorder="1" applyFill="1" applyFont="1" applyNumberFormat="1"/>
    <xf borderId="1" fillId="8" fontId="5" numFmtId="166" xfId="0" applyBorder="1" applyFill="1" applyFont="1" applyNumberFormat="1"/>
    <xf borderId="1" fillId="9" fontId="5" numFmtId="166" xfId="0" applyBorder="1" applyFill="1" applyFont="1" applyNumberFormat="1"/>
    <xf borderId="1" fillId="10" fontId="1" numFmtId="164" xfId="0" applyBorder="1" applyFill="1" applyFont="1" applyNumberFormat="1"/>
    <xf borderId="1" fillId="7" fontId="1" numFmtId="166" xfId="0" applyBorder="1" applyFont="1" applyNumberFormat="1"/>
    <xf borderId="1" fillId="8" fontId="1" numFmtId="166" xfId="0" applyBorder="1" applyFont="1" applyNumberFormat="1"/>
    <xf borderId="1" fillId="9" fontId="1" numFmtId="166" xfId="0" applyBorder="1" applyFont="1" applyNumberFormat="1"/>
    <xf borderId="1" fillId="7" fontId="1" numFmtId="164" xfId="0" applyBorder="1" applyFont="1" applyNumberFormat="1"/>
    <xf borderId="1" fillId="8" fontId="7" numFmtId="164" xfId="0" applyBorder="1" applyFont="1" applyNumberFormat="1"/>
    <xf borderId="1" fillId="9" fontId="1" numFmtId="164" xfId="0" applyBorder="1" applyFont="1" applyNumberFormat="1"/>
    <xf borderId="1" fillId="10" fontId="1" numFmtId="166" xfId="0" applyBorder="1" applyFont="1" applyNumberFormat="1"/>
    <xf borderId="0" fillId="0" fontId="12" numFmtId="166" xfId="0" applyFont="1" applyNumberFormat="1"/>
    <xf borderId="0" fillId="0" fontId="1" numFmtId="166" xfId="0" applyAlignment="1" applyFont="1" applyNumberFormat="1">
      <alignment horizontal="left"/>
    </xf>
    <xf borderId="0" fillId="0" fontId="1" numFmtId="166" xfId="0" applyAlignment="1" applyFont="1" applyNumberFormat="1">
      <alignment horizontal="right"/>
    </xf>
    <xf borderId="1" fillId="6" fontId="1" numFmtId="166" xfId="0" applyAlignment="1" applyBorder="1" applyFont="1" applyNumberFormat="1">
      <alignment horizontal="right"/>
    </xf>
    <xf borderId="0" fillId="0" fontId="1" numFmtId="166" xfId="0" applyAlignment="1" applyFont="1" applyNumberFormat="1">
      <alignment horizontal="left" shrinkToFit="0" wrapText="1"/>
    </xf>
    <xf borderId="0" fillId="0" fontId="5" numFmtId="166" xfId="0" applyAlignment="1" applyFont="1" applyNumberFormat="1">
      <alignment horizontal="right"/>
    </xf>
    <xf borderId="1" fillId="8" fontId="5" numFmtId="164" xfId="0" applyBorder="1" applyFont="1" applyNumberFormat="1"/>
    <xf borderId="1" fillId="3" fontId="12" numFmtId="164" xfId="0" applyBorder="1" applyFont="1" applyNumberFormat="1"/>
    <xf borderId="1" fillId="3" fontId="13" numFmtId="166" xfId="0" applyBorder="1" applyFont="1" applyNumberFormat="1"/>
    <xf borderId="1" fillId="3" fontId="12" numFmtId="166" xfId="0" applyBorder="1" applyFont="1" applyNumberFormat="1"/>
    <xf borderId="1" fillId="6" fontId="12" numFmtId="166" xfId="0" applyBorder="1" applyFont="1" applyNumberFormat="1"/>
    <xf borderId="0" fillId="0" fontId="14" numFmtId="164" xfId="0" applyFont="1" applyNumberFormat="1"/>
    <xf borderId="0" fillId="0" fontId="1" numFmtId="171" xfId="0" applyFont="1" applyNumberFormat="1"/>
    <xf borderId="0" fillId="0" fontId="7" numFmtId="165" xfId="0" applyFont="1" applyNumberFormat="1"/>
    <xf borderId="0" fillId="0" fontId="7" numFmtId="166" xfId="0" applyFont="1" applyNumberFormat="1"/>
    <xf borderId="4" fillId="0" fontId="9" numFmtId="164" xfId="0" applyAlignment="1" applyBorder="1" applyFont="1" applyNumberFormat="1">
      <alignment vertical="center"/>
    </xf>
    <xf borderId="4" fillId="0" fontId="15" numFmtId="0" xfId="0" applyBorder="1" applyFont="1"/>
    <xf borderId="0" fillId="0" fontId="16" numFmtId="164" xfId="0" applyFont="1" applyNumberFormat="1"/>
    <xf borderId="0" fillId="0" fontId="16" numFmtId="164" xfId="0" applyAlignment="1" applyFont="1" applyNumberFormat="1">
      <alignment horizontal="right"/>
    </xf>
    <xf borderId="0" fillId="0" fontId="17" numFmtId="166" xfId="0" applyFont="1" applyNumberFormat="1"/>
    <xf borderId="0" fillId="0" fontId="0" numFmtId="172" xfId="0" applyFont="1" applyNumberFormat="1"/>
    <xf borderId="0" fillId="0" fontId="3" numFmtId="164" xfId="0" applyFont="1" applyNumberFormat="1"/>
    <xf borderId="0" fillId="0" fontId="3" numFmtId="172" xfId="0" applyFont="1" applyNumberFormat="1"/>
    <xf borderId="0" fillId="0" fontId="0" numFmtId="164" xfId="0" applyFont="1" applyNumberFormat="1"/>
    <xf borderId="0" fillId="0" fontId="18" numFmtId="164" xfId="0" applyFont="1" applyNumberFormat="1"/>
    <xf borderId="0" fillId="0" fontId="19" numFmtId="172" xfId="0" applyFont="1" applyNumberFormat="1"/>
    <xf borderId="0" fillId="0" fontId="20" numFmtId="164" xfId="0" applyFont="1" applyNumberFormat="1"/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5" fillId="0" fontId="1" numFmtId="164" xfId="0" applyAlignment="1" applyBorder="1" applyFont="1" applyNumberFormat="1">
      <alignment horizontal="center" vertical="center"/>
    </xf>
    <xf borderId="6" fillId="0" fontId="15" numFmtId="0" xfId="0" applyBorder="1" applyFont="1"/>
    <xf borderId="7" fillId="0" fontId="15" numFmtId="0" xfId="0" applyBorder="1" applyFont="1"/>
    <xf borderId="8" fillId="0" fontId="1" numFmtId="164" xfId="0" applyAlignment="1" applyBorder="1" applyFont="1" applyNumberForma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10" fillId="0" fontId="5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9" fillId="0" fontId="1" numFmtId="164" xfId="0" applyAlignment="1" applyBorder="1" applyFont="1" applyNumberFormat="1">
      <alignment vertical="center"/>
    </xf>
    <xf borderId="9" fillId="0" fontId="5" numFmtId="164" xfId="0" applyAlignment="1" applyBorder="1" applyFont="1" applyNumberFormat="1">
      <alignment vertical="center"/>
    </xf>
    <xf borderId="10" fillId="0" fontId="1" numFmtId="164" xfId="0" applyAlignment="1" applyBorder="1" applyFont="1" applyNumberFormat="1">
      <alignment vertical="center"/>
    </xf>
    <xf borderId="0" fillId="0" fontId="5" numFmtId="164" xfId="0" applyAlignment="1" applyFont="1" applyNumberFormat="1">
      <alignment vertical="center"/>
    </xf>
    <xf borderId="9" fillId="0" fontId="5" numFmtId="166" xfId="0" applyAlignment="1" applyBorder="1" applyFont="1" applyNumberFormat="1">
      <alignment vertical="center"/>
    </xf>
    <xf borderId="10" fillId="0" fontId="5" numFmtId="166" xfId="0" applyAlignment="1" applyBorder="1" applyFont="1" applyNumberFormat="1">
      <alignment vertical="center"/>
    </xf>
    <xf borderId="9" fillId="0" fontId="1" numFmtId="166" xfId="0" applyAlignment="1" applyBorder="1" applyFont="1" applyNumberFormat="1">
      <alignment vertical="center"/>
    </xf>
    <xf borderId="10" fillId="0" fontId="1" numFmtId="166" xfId="0" applyAlignment="1" applyBorder="1" applyFont="1" applyNumberFormat="1">
      <alignment vertical="center"/>
    </xf>
    <xf borderId="11" fillId="11" fontId="1" numFmtId="166" xfId="0" applyAlignment="1" applyBorder="1" applyFill="1" applyFont="1" applyNumberFormat="1">
      <alignment vertical="center"/>
    </xf>
    <xf borderId="12" fillId="11" fontId="1" numFmtId="166" xfId="0" applyAlignment="1" applyBorder="1" applyFont="1" applyNumberFormat="1">
      <alignment vertical="center"/>
    </xf>
    <xf borderId="0" fillId="0" fontId="1" numFmtId="166" xfId="0" applyAlignment="1" applyFont="1" applyNumberFormat="1">
      <alignment vertical="center"/>
    </xf>
    <xf borderId="0" fillId="0" fontId="5" numFmtId="166" xfId="0" applyAlignment="1" applyFont="1" applyNumberFormat="1">
      <alignment vertical="center"/>
    </xf>
    <xf borderId="0" fillId="0" fontId="5" numFmtId="166" xfId="0" applyAlignment="1" applyFont="1" applyNumberFormat="1">
      <alignment horizontal="left"/>
    </xf>
    <xf borderId="0" fillId="0" fontId="1" numFmtId="166" xfId="0" applyAlignment="1" applyFont="1" applyNumberFormat="1">
      <alignment horizontal="left" shrinkToFit="0" vertical="top" wrapText="1"/>
    </xf>
    <xf borderId="0" fillId="0" fontId="2" numFmtId="164" xfId="0" applyAlignment="1" applyFont="1" applyNumberFormat="1">
      <alignment horizontal="left" vertical="center"/>
    </xf>
    <xf borderId="0" fillId="0" fontId="5" numFmtId="164" xfId="0" applyAlignment="1" applyFont="1" applyNumberFormat="1">
      <alignment horizontal="left" vertical="center"/>
    </xf>
    <xf borderId="0" fillId="0" fontId="21" numFmtId="164" xfId="0" applyFont="1" applyNumberFormat="1"/>
    <xf borderId="0" fillId="0" fontId="5" numFmtId="168" xfId="0" applyFont="1" applyNumberFormat="1"/>
    <xf borderId="0" fillId="0" fontId="7" numFmtId="168" xfId="0" applyAlignment="1" applyFont="1" applyNumberFormat="1">
      <alignment shrinkToFit="0" wrapText="1"/>
    </xf>
    <xf borderId="0" fillId="0" fontId="1" numFmtId="172" xfId="0" applyFont="1" applyNumberFormat="1"/>
    <xf borderId="0" fillId="0" fontId="14" numFmtId="0" xfId="0" applyFont="1"/>
    <xf borderId="0" fillId="0" fontId="22" numFmtId="0" xfId="0" applyFont="1"/>
    <xf borderId="0" fillId="0" fontId="14" numFmtId="171" xfId="0" applyFont="1" applyNumberFormat="1"/>
    <xf borderId="0" fillId="0" fontId="23" numFmtId="171" xfId="0" applyFont="1" applyNumberFormat="1"/>
    <xf borderId="0" fillId="0" fontId="14" numFmtId="3" xfId="0" applyAlignment="1" applyFont="1" applyNumberFormat="1">
      <alignment horizontal="right"/>
    </xf>
    <xf borderId="0" fillId="0" fontId="14" numFmtId="171" xfId="0" applyAlignment="1" applyFont="1" applyNumberFormat="1">
      <alignment horizontal="right"/>
    </xf>
    <xf borderId="0" fillId="0" fontId="14" numFmtId="0" xfId="0" applyAlignment="1" applyFont="1">
      <alignment horizontal="right"/>
    </xf>
    <xf borderId="1" fillId="12" fontId="14" numFmtId="171" xfId="0" applyAlignment="1" applyBorder="1" applyFill="1" applyFont="1" applyNumberFormat="1">
      <alignment horizontal="right"/>
    </xf>
    <xf borderId="1" fillId="12" fontId="14" numFmtId="171" xfId="0" applyBorder="1" applyFont="1" applyNumberFormat="1"/>
    <xf borderId="1" fillId="13" fontId="14" numFmtId="0" xfId="0" applyBorder="1" applyFill="1" applyFont="1"/>
    <xf borderId="1" fillId="14" fontId="1" numFmtId="164" xfId="0" applyAlignment="1" applyBorder="1" applyFill="1" applyFont="1" applyNumberFormat="1">
      <alignment horizontal="center" vertical="center"/>
    </xf>
    <xf borderId="13" fillId="15" fontId="1" numFmtId="164" xfId="0" applyAlignment="1" applyBorder="1" applyFill="1" applyFont="1" applyNumberFormat="1">
      <alignment horizontal="center" vertical="center"/>
    </xf>
    <xf borderId="14" fillId="0" fontId="15" numFmtId="0" xfId="0" applyBorder="1" applyFont="1"/>
    <xf borderId="15" fillId="0" fontId="15" numFmtId="0" xfId="0" applyBorder="1" applyFont="1"/>
    <xf borderId="13" fillId="16" fontId="1" numFmtId="164" xfId="0" applyAlignment="1" applyBorder="1" applyFill="1" applyFont="1" applyNumberFormat="1">
      <alignment horizontal="center" vertical="center"/>
    </xf>
    <xf borderId="13" fillId="10" fontId="1" numFmtId="164" xfId="0" applyAlignment="1" applyBorder="1" applyFont="1" applyNumberFormat="1">
      <alignment horizontal="center" vertical="center"/>
    </xf>
    <xf borderId="13" fillId="17" fontId="1" numFmtId="164" xfId="0" applyAlignment="1" applyBorder="1" applyFill="1" applyFont="1" applyNumberFormat="1">
      <alignment horizontal="center" vertical="center"/>
    </xf>
    <xf borderId="13" fillId="18" fontId="1" numFmtId="164" xfId="0" applyAlignment="1" applyBorder="1" applyFill="1" applyFont="1" applyNumberFormat="1">
      <alignment horizontal="center" vertical="center"/>
    </xf>
    <xf borderId="9" fillId="0" fontId="1" numFmtId="164" xfId="0" applyAlignment="1" applyBorder="1" applyFont="1" applyNumberFormat="1">
      <alignment horizontal="center" vertical="center"/>
    </xf>
    <xf borderId="1" fillId="14" fontId="1" numFmtId="164" xfId="0" applyBorder="1" applyFont="1" applyNumberFormat="1"/>
    <xf borderId="0" fillId="0" fontId="1" numFmtId="164" xfId="0" applyAlignment="1" applyFont="1" applyNumberFormat="1">
      <alignment horizontal="center"/>
    </xf>
    <xf borderId="1" fillId="14" fontId="1" numFmtId="173" xfId="0" applyBorder="1" applyFont="1" applyNumberFormat="1"/>
    <xf borderId="0" fillId="0" fontId="1" numFmtId="173" xfId="0" applyAlignment="1" applyFont="1" applyNumberFormat="1">
      <alignment horizontal="center"/>
    </xf>
    <xf borderId="1" fillId="14" fontId="1" numFmtId="166" xfId="0" applyBorder="1" applyFont="1" applyNumberFormat="1"/>
    <xf borderId="9" fillId="0" fontId="1" numFmtId="166" xfId="0" applyAlignment="1" applyBorder="1" applyFont="1" applyNumberFormat="1">
      <alignment horizontal="center"/>
    </xf>
    <xf borderId="9" fillId="0" fontId="1" numFmtId="164" xfId="0" applyAlignment="1" applyBorder="1" applyFont="1" applyNumberFormat="1">
      <alignment horizontal="center"/>
    </xf>
    <xf borderId="0" fillId="0" fontId="1" numFmtId="172" xfId="0" applyAlignment="1" applyFont="1" applyNumberFormat="1">
      <alignment horizontal="center"/>
    </xf>
    <xf borderId="0" fillId="0" fontId="10" numFmtId="164" xfId="0" applyFont="1" applyNumberFormat="1"/>
    <xf borderId="0" fillId="0" fontId="1" numFmtId="174" xfId="0" applyFont="1" applyNumberFormat="1"/>
    <xf borderId="0" fillId="0" fontId="24" numFmtId="164" xfId="0" applyFont="1" applyNumberFormat="1"/>
    <xf borderId="0" fillId="0" fontId="24" numFmtId="174" xfId="0" applyFont="1" applyNumberFormat="1"/>
    <xf borderId="0" fillId="0" fontId="24" numFmtId="172" xfId="0" applyFont="1" applyNumberFormat="1"/>
    <xf borderId="0" fillId="0" fontId="24" numFmtId="164" xfId="0" applyAlignment="1" applyFont="1" applyNumberFormat="1">
      <alignment horizontal="center"/>
    </xf>
    <xf borderId="8" fillId="5" fontId="25" numFmtId="164" xfId="0" applyAlignment="1" applyBorder="1" applyFont="1" applyNumberFormat="1">
      <alignment vertical="center"/>
    </xf>
    <xf borderId="8" fillId="5" fontId="25" numFmtId="164" xfId="0" applyAlignment="1" applyBorder="1" applyFont="1" applyNumberFormat="1">
      <alignment horizontal="center" vertical="center"/>
    </xf>
    <xf borderId="8" fillId="5" fontId="26" numFmtId="174" xfId="0" applyAlignment="1" applyBorder="1" applyFont="1" applyNumberFormat="1">
      <alignment horizontal="center" vertical="center"/>
    </xf>
    <xf borderId="8" fillId="5" fontId="11" numFmtId="172" xfId="0" applyAlignment="1" applyBorder="1" applyFont="1" applyNumberFormat="1">
      <alignment horizontal="center" vertical="center"/>
    </xf>
    <xf borderId="0" fillId="0" fontId="26" numFmtId="164" xfId="0" applyAlignment="1" applyFont="1" applyNumberFormat="1">
      <alignment horizontal="center" vertical="center"/>
    </xf>
    <xf borderId="0" fillId="0" fontId="26" numFmtId="164" xfId="0" applyAlignment="1" applyFont="1" applyNumberFormat="1">
      <alignment vertical="center"/>
    </xf>
    <xf borderId="8" fillId="0" fontId="18" numFmtId="164" xfId="0" applyAlignment="1" applyBorder="1" applyFont="1" applyNumberFormat="1">
      <alignment horizontal="left"/>
    </xf>
    <xf borderId="8" fillId="0" fontId="18" numFmtId="164" xfId="0" applyAlignment="1" applyBorder="1" applyFont="1" applyNumberFormat="1">
      <alignment horizontal="center"/>
    </xf>
    <xf borderId="8" fillId="0" fontId="18" numFmtId="172" xfId="0" applyAlignment="1" applyBorder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18" numFmtId="164" xfId="0" applyAlignment="1" applyFont="1" applyNumberFormat="1">
      <alignment horizontal="center"/>
    </xf>
    <xf borderId="8" fillId="16" fontId="27" numFmtId="164" xfId="0" applyAlignment="1" applyBorder="1" applyFont="1" applyNumberFormat="1">
      <alignment horizontal="left"/>
    </xf>
    <xf borderId="8" fillId="16" fontId="18" numFmtId="164" xfId="0" applyAlignment="1" applyBorder="1" applyFont="1" applyNumberFormat="1">
      <alignment horizontal="left"/>
    </xf>
    <xf borderId="8" fillId="16" fontId="18" numFmtId="164" xfId="0" applyAlignment="1" applyBorder="1" applyFont="1" applyNumberFormat="1">
      <alignment horizontal="center"/>
    </xf>
    <xf borderId="8" fillId="19" fontId="18" numFmtId="172" xfId="0" applyAlignment="1" applyBorder="1" applyFill="1" applyFont="1" applyNumberFormat="1">
      <alignment horizontal="center"/>
    </xf>
    <xf borderId="1" fillId="16" fontId="5" numFmtId="164" xfId="0" applyAlignment="1" applyBorder="1" applyFont="1" applyNumberFormat="1">
      <alignment horizontal="center"/>
    </xf>
    <xf borderId="1" fillId="16" fontId="18" numFmtId="164" xfId="0" applyAlignment="1" applyBorder="1" applyFont="1" applyNumberFormat="1">
      <alignment horizontal="center"/>
    </xf>
    <xf borderId="1" fillId="16" fontId="18" numFmtId="172" xfId="0" applyAlignment="1" applyBorder="1" applyFont="1" applyNumberFormat="1">
      <alignment horizontal="center"/>
    </xf>
    <xf borderId="8" fillId="0" fontId="27" numFmtId="164" xfId="0" applyAlignment="1" applyBorder="1" applyFont="1" applyNumberFormat="1">
      <alignment horizontal="left"/>
    </xf>
    <xf borderId="8" fillId="0" fontId="27" numFmtId="164" xfId="0" applyAlignment="1" applyBorder="1" applyFont="1" applyNumberFormat="1">
      <alignment horizontal="left" shrinkToFit="0" wrapText="1"/>
    </xf>
    <xf borderId="8" fillId="0" fontId="27" numFmtId="164" xfId="0" applyAlignment="1" applyBorder="1" applyFont="1" applyNumberFormat="1">
      <alignment horizontal="center"/>
    </xf>
    <xf borderId="8" fillId="19" fontId="27" numFmtId="172" xfId="0" applyAlignment="1" applyBorder="1" applyFont="1" applyNumberFormat="1">
      <alignment horizontal="center"/>
    </xf>
    <xf borderId="0" fillId="0" fontId="18" numFmtId="172" xfId="0" applyAlignment="1" applyFont="1" applyNumberFormat="1">
      <alignment horizontal="center"/>
    </xf>
    <xf borderId="8" fillId="0" fontId="1" numFmtId="164" xfId="0" applyAlignment="1" applyBorder="1" applyFont="1" applyNumberFormat="1">
      <alignment vertical="top"/>
    </xf>
    <xf borderId="8" fillId="0" fontId="7" numFmtId="164" xfId="0" applyBorder="1" applyFont="1" applyNumberFormat="1"/>
    <xf borderId="8" fillId="0" fontId="1" numFmtId="174" xfId="0" applyAlignment="1" applyBorder="1" applyFont="1" applyNumberFormat="1">
      <alignment horizontal="center"/>
    </xf>
    <xf borderId="8" fillId="0" fontId="1" numFmtId="172" xfId="0" applyAlignment="1" applyBorder="1" applyFont="1" applyNumberFormat="1">
      <alignment horizontal="center"/>
    </xf>
    <xf borderId="8" fillId="0" fontId="5" numFmtId="172" xfId="0" applyAlignment="1" applyBorder="1" applyFont="1" applyNumberFormat="1">
      <alignment horizontal="center"/>
    </xf>
    <xf borderId="0" fillId="0" fontId="5" numFmtId="172" xfId="0" applyAlignment="1" applyFont="1" applyNumberFormat="1">
      <alignment horizontal="center"/>
    </xf>
    <xf borderId="8" fillId="20" fontId="27" numFmtId="164" xfId="0" applyAlignment="1" applyBorder="1" applyFill="1" applyFont="1" applyNumberFormat="1">
      <alignment horizontal="left"/>
    </xf>
    <xf borderId="8" fillId="0" fontId="18" numFmtId="164" xfId="0" applyAlignment="1" applyBorder="1" applyFont="1" applyNumberFormat="1">
      <alignment horizontal="left" shrinkToFit="0" wrapText="1"/>
    </xf>
    <xf borderId="8" fillId="0" fontId="1" numFmtId="164" xfId="0" applyAlignment="1" applyBorder="1" applyFont="1" applyNumberFormat="1">
      <alignment shrinkToFit="0" wrapText="1"/>
    </xf>
    <xf borderId="8" fillId="3" fontId="5" numFmtId="172" xfId="0" applyAlignment="1" applyBorder="1" applyFont="1" applyNumberFormat="1">
      <alignment horizontal="center"/>
    </xf>
    <xf borderId="8" fillId="3" fontId="0" numFmtId="0" xfId="0" applyBorder="1" applyFont="1"/>
    <xf borderId="8" fillId="0" fontId="1" numFmtId="164" xfId="0" applyAlignment="1" applyBorder="1" applyFont="1" applyNumberFormat="1">
      <alignment shrinkToFit="0" vertical="top" wrapText="1"/>
    </xf>
    <xf borderId="8" fillId="3" fontId="1" numFmtId="172" xfId="0" applyAlignment="1" applyBorder="1" applyFont="1" applyNumberFormat="1">
      <alignment horizontal="center"/>
    </xf>
    <xf borderId="8" fillId="0" fontId="1" numFmtId="174" xfId="0" applyBorder="1" applyFont="1" applyNumberFormat="1"/>
    <xf borderId="8" fillId="0" fontId="1" numFmtId="172" xfId="0" applyAlignment="1" applyBorder="1" applyFont="1" applyNumberFormat="1">
      <alignment horizontal="center" shrinkToFit="0" wrapText="1"/>
    </xf>
    <xf borderId="0" fillId="0" fontId="7" numFmtId="164" xfId="0" applyAlignment="1" applyFont="1" applyNumberFormat="1">
      <alignment horizontal="center"/>
    </xf>
    <xf borderId="8" fillId="0" fontId="1" numFmtId="172" xfId="0" applyAlignment="1" applyBorder="1" applyFont="1" applyNumberFormat="1">
      <alignment horizontal="left" shrinkToFit="0" wrapText="1"/>
    </xf>
    <xf borderId="8" fillId="20" fontId="27" numFmtId="172" xfId="0" applyAlignment="1" applyBorder="1" applyFont="1" applyNumberFormat="1">
      <alignment horizontal="center"/>
    </xf>
    <xf borderId="8" fillId="0" fontId="1" numFmtId="164" xfId="0" applyBorder="1" applyFont="1" applyNumberFormat="1"/>
    <xf borderId="8" fillId="0" fontId="7" numFmtId="164" xfId="0" applyAlignment="1" applyBorder="1" applyFont="1" applyNumberFormat="1">
      <alignment shrinkToFit="0" wrapText="1"/>
    </xf>
    <xf borderId="8" fillId="0" fontId="1" numFmtId="172" xfId="0" applyBorder="1" applyFont="1" applyNumberFormat="1"/>
    <xf borderId="8" fillId="0" fontId="27" numFmtId="174" xfId="0" applyAlignment="1" applyBorder="1" applyFont="1" applyNumberFormat="1">
      <alignment horizontal="center"/>
    </xf>
    <xf borderId="8" fillId="21" fontId="27" numFmtId="172" xfId="0" applyAlignment="1" applyBorder="1" applyFill="1" applyFont="1" applyNumberFormat="1">
      <alignment horizontal="center"/>
    </xf>
    <xf borderId="8" fillId="21" fontId="1" numFmtId="172" xfId="0" applyBorder="1" applyFont="1" applyNumberFormat="1"/>
    <xf borderId="8" fillId="0" fontId="5" numFmtId="164" xfId="0" applyAlignment="1" applyBorder="1" applyFont="1" applyNumberFormat="1">
      <alignment vertical="top"/>
    </xf>
    <xf borderId="8" fillId="0" fontId="5" numFmtId="164" xfId="0" applyBorder="1" applyFont="1" applyNumberFormat="1"/>
    <xf borderId="8" fillId="0" fontId="1" numFmtId="164" xfId="0" applyAlignment="1" applyBorder="1" applyFont="1" applyNumberFormat="1">
      <alignment horizontal="center"/>
    </xf>
    <xf borderId="8" fillId="21" fontId="5" numFmtId="172" xfId="0" applyAlignment="1" applyBorder="1" applyFont="1" applyNumberFormat="1">
      <alignment horizontal="center"/>
    </xf>
    <xf borderId="8" fillId="21" fontId="1" numFmtId="172" xfId="0" applyAlignment="1" applyBorder="1" applyFont="1" applyNumberFormat="1">
      <alignment horizontal="center"/>
    </xf>
    <xf borderId="8" fillId="0" fontId="5" numFmtId="164" xfId="0" applyAlignment="1" applyBorder="1" applyFont="1" applyNumberFormat="1">
      <alignment horizontal="center" vertical="center"/>
    </xf>
    <xf borderId="8" fillId="0" fontId="5" numFmtId="172" xfId="0" applyAlignment="1" applyBorder="1" applyFont="1" applyNumberFormat="1">
      <alignment horizontal="center" shrinkToFit="0" wrapText="1"/>
    </xf>
    <xf borderId="8" fillId="0" fontId="5" numFmtId="174" xfId="0" applyAlignment="1" applyBorder="1" applyFont="1" applyNumberFormat="1">
      <alignment horizontal="center"/>
    </xf>
    <xf borderId="8" fillId="0" fontId="18" numFmtId="174" xfId="0" applyAlignment="1" applyBorder="1" applyFont="1" applyNumberFormat="1">
      <alignment horizontal="center"/>
    </xf>
    <xf borderId="8" fillId="3" fontId="11" numFmtId="172" xfId="0" applyAlignment="1" applyBorder="1" applyFont="1" applyNumberFormat="1">
      <alignment horizontal="center"/>
    </xf>
    <xf borderId="1" fillId="18" fontId="7" numFmtId="164" xfId="0" applyBorder="1" applyFont="1" applyNumberFormat="1"/>
    <xf borderId="1" fillId="18" fontId="7" numFmtId="164" xfId="0" applyAlignment="1" applyBorder="1" applyFont="1" applyNumberFormat="1">
      <alignment shrinkToFit="0" wrapText="1"/>
    </xf>
    <xf borderId="0" fillId="0" fontId="28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11" fillId="18" fontId="5" numFmtId="164" xfId="0" applyAlignment="1" applyBorder="1" applyFont="1" applyNumberFormat="1">
      <alignment horizontal="center" vertical="center"/>
    </xf>
    <xf borderId="16" fillId="0" fontId="5" numFmtId="164" xfId="0" applyAlignment="1" applyBorder="1" applyFont="1" applyNumberFormat="1">
      <alignment horizontal="center" vertical="center"/>
    </xf>
    <xf borderId="11" fillId="3" fontId="5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shrinkToFit="0" wrapText="1"/>
    </xf>
    <xf borderId="1" fillId="18" fontId="5" numFmtId="166" xfId="0" applyBorder="1" applyFont="1" applyNumberFormat="1"/>
    <xf borderId="10" fillId="0" fontId="5" numFmtId="166" xfId="0" applyBorder="1" applyFont="1" applyNumberFormat="1"/>
    <xf borderId="1" fillId="3" fontId="5" numFmtId="166" xfId="0" applyBorder="1" applyFont="1" applyNumberFormat="1"/>
    <xf borderId="1" fillId="18" fontId="1" numFmtId="166" xfId="0" applyBorder="1" applyFont="1" applyNumberFormat="1"/>
    <xf borderId="1" fillId="3" fontId="1" numFmtId="166" xfId="0" applyBorder="1" applyFont="1" applyNumberFormat="1"/>
    <xf borderId="0" fillId="0" fontId="1" numFmtId="166" xfId="0" applyAlignment="1" applyFont="1" applyNumberFormat="1">
      <alignment shrinkToFit="0" wrapText="1"/>
    </xf>
    <xf borderId="10" fillId="0" fontId="1" numFmtId="166" xfId="0" applyBorder="1" applyFont="1" applyNumberFormat="1"/>
    <xf borderId="0" fillId="0" fontId="29" numFmtId="166" xfId="0" applyFont="1" applyNumberFormat="1"/>
    <xf borderId="1" fillId="3" fontId="29" numFmtId="166" xfId="0" applyBorder="1" applyFont="1" applyNumberFormat="1"/>
    <xf borderId="1" fillId="22" fontId="1" numFmtId="166" xfId="0" applyBorder="1" applyFill="1" applyFont="1" applyNumberFormat="1"/>
    <xf borderId="12" fillId="23" fontId="5" numFmtId="166" xfId="0" applyBorder="1" applyFill="1" applyFont="1" applyNumberFormat="1"/>
    <xf borderId="1" fillId="23" fontId="1" numFmtId="166" xfId="0" applyBorder="1" applyFont="1" applyNumberFormat="1"/>
    <xf borderId="1" fillId="19" fontId="1" numFmtId="166" xfId="0" applyBorder="1" applyFont="1" applyNumberFormat="1"/>
    <xf borderId="17" fillId="0" fontId="30" numFmtId="166" xfId="0" applyBorder="1" applyFont="1" applyNumberFormat="1"/>
    <xf borderId="0" fillId="0" fontId="30" numFmtId="166" xfId="0" applyFont="1" applyNumberFormat="1"/>
    <xf borderId="1" fillId="3" fontId="30" numFmtId="166" xfId="0" applyBorder="1" applyFont="1" applyNumberFormat="1"/>
    <xf borderId="17" fillId="0" fontId="5" numFmtId="166" xfId="0" applyBorder="1" applyFont="1" applyNumberFormat="1"/>
    <xf borderId="0" fillId="0" fontId="31" numFmtId="164" xfId="0" applyFont="1" applyNumberFormat="1"/>
    <xf borderId="0" fillId="0" fontId="1" numFmtId="164" xfId="0" applyAlignment="1" applyFont="1" applyNumberFormat="1">
      <alignment horizontal="right"/>
    </xf>
    <xf borderId="0" fillId="0" fontId="1" numFmtId="175" xfId="0" applyAlignment="1" applyFont="1" applyNumberFormat="1">
      <alignment horizontal="right"/>
    </xf>
    <xf borderId="0" fillId="0" fontId="31" numFmtId="175" xfId="0" applyFont="1" applyNumberFormat="1"/>
    <xf borderId="0" fillId="0" fontId="5" numFmtId="170" xfId="0" applyAlignment="1" applyFont="1" applyNumberFormat="1">
      <alignment horizontal="right"/>
    </xf>
    <xf borderId="0" fillId="0" fontId="5" numFmtId="175" xfId="0" applyAlignment="1" applyFont="1" applyNumberFormat="1">
      <alignment horizontal="right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1</xdr:row>
      <xdr:rowOff>0</xdr:rowOff>
    </xdr:from>
    <xdr:ext cx="5524500" cy="1400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5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3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7.0"/>
    <col customWidth="1" hidden="1" min="2" max="2" width="4.75"/>
    <col customWidth="1" min="3" max="3" width="3.13"/>
    <col customWidth="1" min="4" max="6" width="10.38"/>
    <col customWidth="1" min="7" max="24" width="8.38"/>
    <col customWidth="1" min="25" max="26" width="11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08.75" customHeight="1">
      <c r="A2" s="1"/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29.25" customHeight="1">
      <c r="A3" s="1"/>
      <c r="B3" s="1"/>
      <c r="C3" s="1"/>
      <c r="D3" s="2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26.25" customHeight="1">
      <c r="A4" s="1"/>
      <c r="B4" s="1"/>
      <c r="C4" s="1"/>
      <c r="D4" s="3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26.25" customHeight="1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3.5" customHeight="1">
      <c r="A6" s="1"/>
      <c r="B6" s="1"/>
      <c r="C6" s="1">
        <v>1.0</v>
      </c>
      <c r="D6" s="4" t="s">
        <v>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3.5" customHeight="1">
      <c r="A7" s="1"/>
      <c r="B7" s="1"/>
      <c r="C7" s="1">
        <v>2.0</v>
      </c>
      <c r="D7" s="4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3.5" customHeight="1">
      <c r="A8" s="1"/>
      <c r="B8" s="1"/>
      <c r="C8" s="1">
        <v>3.0</v>
      </c>
      <c r="D8" s="4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3.5" customHeight="1">
      <c r="A9" s="1"/>
      <c r="B9" s="1"/>
      <c r="C9" s="1">
        <v>4.0</v>
      </c>
      <c r="D9" s="4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2.75" customHeight="1">
      <c r="A10" s="1"/>
      <c r="B10" s="1"/>
      <c r="C10" s="1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3.5" customHeight="1">
      <c r="A11" s="1"/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3.5" customHeight="1">
      <c r="A12" s="1"/>
      <c r="B12" s="1"/>
      <c r="C12" s="5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 customHeight="1">
      <c r="A13" s="1"/>
      <c r="B13" s="1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574803149606299" footer="0.0" header="0.0" left="0.7000000000000001" right="0.7000000000000001" top="1.574803149606299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2.63" defaultRowHeight="15.0"/>
  <cols>
    <col customWidth="1" min="1" max="1" width="1.25"/>
    <col customWidth="1" min="2" max="3" width="4.13"/>
    <col customWidth="1" min="4" max="4" width="4.25"/>
    <col customWidth="1" min="5" max="5" width="23.13"/>
    <col customWidth="1" hidden="1" min="6" max="6" width="23.13"/>
    <col customWidth="1" hidden="1" min="7" max="10" width="10.38"/>
    <col customWidth="1" min="11" max="13" width="10.38"/>
    <col customWidth="1" min="14" max="14" width="11.88"/>
    <col customWidth="1" min="15" max="24" width="10.38"/>
    <col customWidth="1" hidden="1" min="25" max="27" width="10.38"/>
    <col customWidth="1" min="28" max="37" width="10.38"/>
  </cols>
  <sheetData>
    <row r="1" ht="6.0" customHeight="1">
      <c r="A1" s="12"/>
      <c r="B1" s="12"/>
      <c r="C1" s="12"/>
      <c r="D1" s="12"/>
      <c r="E1" s="13"/>
      <c r="F1" s="13"/>
      <c r="G1" s="12"/>
      <c r="H1" s="12"/>
      <c r="I1" s="200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ht="15.75" customHeight="1">
      <c r="A2" s="12"/>
      <c r="B2" s="104" t="s">
        <v>5</v>
      </c>
      <c r="F2" s="104"/>
      <c r="G2" s="104"/>
      <c r="H2" s="104"/>
      <c r="I2" s="201" t="s">
        <v>500</v>
      </c>
      <c r="J2" s="12"/>
      <c r="K2" s="12"/>
      <c r="L2" s="12"/>
      <c r="M2" s="12"/>
      <c r="N2" s="152" t="s">
        <v>501</v>
      </c>
      <c r="O2" s="202" t="s">
        <v>502</v>
      </c>
      <c r="P2" s="202" t="s">
        <v>503</v>
      </c>
      <c r="Q2" s="202" t="s">
        <v>504</v>
      </c>
      <c r="R2" s="202" t="s">
        <v>505</v>
      </c>
      <c r="S2" s="202" t="s">
        <v>506</v>
      </c>
      <c r="T2" s="202" t="s">
        <v>506</v>
      </c>
      <c r="U2" s="202" t="s">
        <v>506</v>
      </c>
      <c r="V2" s="202" t="s">
        <v>506</v>
      </c>
      <c r="W2" s="202" t="s">
        <v>506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ht="21.0" customHeight="1">
      <c r="A3" s="81"/>
      <c r="B3" s="81"/>
      <c r="C3" s="81"/>
      <c r="D3" s="81"/>
      <c r="E3" s="203"/>
      <c r="F3" s="203"/>
      <c r="G3" s="83">
        <v>2020.0</v>
      </c>
      <c r="H3" s="84"/>
      <c r="I3" s="84"/>
      <c r="J3" s="84"/>
      <c r="K3" s="85"/>
      <c r="L3" s="83">
        <v>2021.0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6">
        <v>2022.0</v>
      </c>
      <c r="Z3" s="86">
        <v>2023.0</v>
      </c>
      <c r="AA3" s="86">
        <v>2024.0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ht="21.0" customHeight="1">
      <c r="A4" s="82"/>
      <c r="B4" s="82"/>
      <c r="C4" s="82"/>
      <c r="D4" s="82"/>
      <c r="E4" s="204"/>
      <c r="F4" s="204" t="s">
        <v>303</v>
      </c>
      <c r="G4" s="87" t="s">
        <v>257</v>
      </c>
      <c r="H4" s="87" t="s">
        <v>258</v>
      </c>
      <c r="I4" s="205" t="s">
        <v>259</v>
      </c>
      <c r="J4" s="82" t="s">
        <v>260</v>
      </c>
      <c r="K4" s="206" t="s">
        <v>261</v>
      </c>
      <c r="L4" s="87" t="s">
        <v>296</v>
      </c>
      <c r="M4" s="87" t="s">
        <v>297</v>
      </c>
      <c r="N4" s="207" t="s">
        <v>298</v>
      </c>
      <c r="O4" s="87" t="s">
        <v>299</v>
      </c>
      <c r="P4" s="87" t="s">
        <v>300</v>
      </c>
      <c r="Q4" s="87" t="s">
        <v>301</v>
      </c>
      <c r="R4" s="87" t="s">
        <v>302</v>
      </c>
      <c r="S4" s="87" t="s">
        <v>303</v>
      </c>
      <c r="T4" s="87" t="s">
        <v>257</v>
      </c>
      <c r="U4" s="87" t="s">
        <v>258</v>
      </c>
      <c r="V4" s="87" t="s">
        <v>259</v>
      </c>
      <c r="W4" s="82" t="s">
        <v>260</v>
      </c>
      <c r="X4" s="206" t="s">
        <v>261</v>
      </c>
      <c r="Y4" s="87" t="s">
        <v>261</v>
      </c>
      <c r="Z4" s="88" t="s">
        <v>261</v>
      </c>
      <c r="AA4" s="88" t="s">
        <v>261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ht="15.75" customHeight="1">
      <c r="A5" s="5"/>
      <c r="B5" s="5" t="s">
        <v>507</v>
      </c>
      <c r="C5" s="5" t="s">
        <v>508</v>
      </c>
      <c r="D5" s="5"/>
      <c r="E5" s="208"/>
      <c r="F5" s="208"/>
      <c r="G5" s="38">
        <v>355.0</v>
      </c>
      <c r="H5" s="38">
        <v>688.0</v>
      </c>
      <c r="I5" s="209">
        <f t="shared" ref="I5:J5" si="1">I6+I9+I17</f>
        <v>0</v>
      </c>
      <c r="J5" s="38">
        <f t="shared" si="1"/>
        <v>2850</v>
      </c>
      <c r="K5" s="210">
        <f t="shared" ref="K5:K17" si="3">SUM(F5:J5)</f>
        <v>3893</v>
      </c>
      <c r="L5" s="38">
        <f t="shared" ref="L5:AA5" si="2">L6+L9+L17</f>
        <v>214</v>
      </c>
      <c r="M5" s="38">
        <f t="shared" si="2"/>
        <v>214</v>
      </c>
      <c r="N5" s="211">
        <f t="shared" si="2"/>
        <v>8014</v>
      </c>
      <c r="O5" s="38">
        <f t="shared" si="2"/>
        <v>8794.03</v>
      </c>
      <c r="P5" s="38">
        <f t="shared" si="2"/>
        <v>9574.06</v>
      </c>
      <c r="Q5" s="38">
        <f t="shared" si="2"/>
        <v>10354.09</v>
      </c>
      <c r="R5" s="38">
        <f t="shared" si="2"/>
        <v>11080.62</v>
      </c>
      <c r="S5" s="38">
        <f t="shared" si="2"/>
        <v>11080.62</v>
      </c>
      <c r="T5" s="38">
        <f t="shared" si="2"/>
        <v>11080.62</v>
      </c>
      <c r="U5" s="38">
        <f t="shared" si="2"/>
        <v>11080.62</v>
      </c>
      <c r="V5" s="38">
        <f t="shared" si="2"/>
        <v>11080.62</v>
      </c>
      <c r="W5" s="38">
        <f t="shared" si="2"/>
        <v>11080.62</v>
      </c>
      <c r="X5" s="210">
        <f t="shared" si="2"/>
        <v>103647.9</v>
      </c>
      <c r="Y5" s="38">
        <f t="shared" si="2"/>
        <v>210600</v>
      </c>
      <c r="Z5" s="38">
        <f t="shared" si="2"/>
        <v>210600</v>
      </c>
      <c r="AA5" s="38">
        <f t="shared" si="2"/>
        <v>210600</v>
      </c>
      <c r="AB5" s="5"/>
      <c r="AC5" s="5"/>
      <c r="AD5" s="5"/>
      <c r="AE5" s="5"/>
      <c r="AF5" s="5"/>
      <c r="AG5" s="5"/>
      <c r="AH5" s="5"/>
      <c r="AI5" s="5"/>
      <c r="AJ5" s="5"/>
      <c r="AK5" s="5"/>
    </row>
    <row r="6" ht="15.75" customHeight="1">
      <c r="A6" s="12"/>
      <c r="B6" s="12"/>
      <c r="C6" s="12"/>
      <c r="D6" s="1" t="s">
        <v>174</v>
      </c>
      <c r="E6" s="13"/>
      <c r="F6" s="13">
        <v>0.0</v>
      </c>
      <c r="G6" s="40">
        <v>0.0</v>
      </c>
      <c r="H6" s="40">
        <v>0.0</v>
      </c>
      <c r="I6" s="212">
        <v>0.0</v>
      </c>
      <c r="J6" s="40">
        <v>0.0</v>
      </c>
      <c r="K6" s="210">
        <f t="shared" si="3"/>
        <v>0</v>
      </c>
      <c r="L6" s="40">
        <f t="shared" ref="L6:W6" si="4">SUM(L7:L8)</f>
        <v>200</v>
      </c>
      <c r="M6" s="40">
        <f t="shared" si="4"/>
        <v>200</v>
      </c>
      <c r="N6" s="213">
        <f t="shared" si="4"/>
        <v>7489.719626</v>
      </c>
      <c r="O6" s="40">
        <f t="shared" si="4"/>
        <v>8218.719626</v>
      </c>
      <c r="P6" s="40">
        <f t="shared" si="4"/>
        <v>8947.719626</v>
      </c>
      <c r="Q6" s="40">
        <f t="shared" si="4"/>
        <v>9676.719626</v>
      </c>
      <c r="R6" s="40">
        <f t="shared" si="4"/>
        <v>10355.71963</v>
      </c>
      <c r="S6" s="40">
        <f t="shared" si="4"/>
        <v>10355.71963</v>
      </c>
      <c r="T6" s="40">
        <f t="shared" si="4"/>
        <v>10355.71963</v>
      </c>
      <c r="U6" s="40">
        <f t="shared" si="4"/>
        <v>10355.71963</v>
      </c>
      <c r="V6" s="40">
        <f t="shared" si="4"/>
        <v>10355.71963</v>
      </c>
      <c r="W6" s="40">
        <f t="shared" si="4"/>
        <v>10355.71963</v>
      </c>
      <c r="X6" s="210">
        <f t="shared" ref="X6:X8" si="7">SUM(L6:W6)</f>
        <v>96867.19626</v>
      </c>
      <c r="Y6" s="40">
        <f>Plan_GuV!N6</f>
        <v>196822.4299</v>
      </c>
      <c r="Z6" s="40">
        <f>Plan_GuV!O6</f>
        <v>196822.4299</v>
      </c>
      <c r="AA6" s="40">
        <f>Plan_GuV!P6</f>
        <v>196822.4299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ht="15.75" customHeight="1">
      <c r="A7" s="12"/>
      <c r="B7" s="12"/>
      <c r="C7" s="12"/>
      <c r="D7" s="1"/>
      <c r="E7" s="13" t="s">
        <v>509</v>
      </c>
      <c r="F7" s="13">
        <v>0.0</v>
      </c>
      <c r="G7" s="40">
        <v>0.0</v>
      </c>
      <c r="H7" s="40">
        <v>0.0</v>
      </c>
      <c r="I7" s="212">
        <v>0.0</v>
      </c>
      <c r="J7" s="40">
        <v>0.0</v>
      </c>
      <c r="K7" s="210">
        <f t="shared" si="3"/>
        <v>0</v>
      </c>
      <c r="L7" s="40">
        <v>0.0</v>
      </c>
      <c r="M7" s="40">
        <v>0.0</v>
      </c>
      <c r="N7" s="213">
        <f>'Betriebsgrößenanalyse'!$D31/12</f>
        <v>7289.719626</v>
      </c>
      <c r="O7" s="213">
        <f t="shared" ref="O7:R7" si="5">N7+729</f>
        <v>8018.719626</v>
      </c>
      <c r="P7" s="213">
        <f t="shared" si="5"/>
        <v>8747.719626</v>
      </c>
      <c r="Q7" s="213">
        <f t="shared" si="5"/>
        <v>9476.719626</v>
      </c>
      <c r="R7" s="213">
        <f t="shared" si="5"/>
        <v>10205.71963</v>
      </c>
      <c r="S7" s="213">
        <f t="shared" ref="S7:W7" si="6">R7</f>
        <v>10205.71963</v>
      </c>
      <c r="T7" s="213">
        <f t="shared" si="6"/>
        <v>10205.71963</v>
      </c>
      <c r="U7" s="213">
        <f t="shared" si="6"/>
        <v>10205.71963</v>
      </c>
      <c r="V7" s="213">
        <f t="shared" si="6"/>
        <v>10205.71963</v>
      </c>
      <c r="W7" s="213">
        <f t="shared" si="6"/>
        <v>10205.71963</v>
      </c>
      <c r="X7" s="210">
        <f t="shared" si="7"/>
        <v>94767.19626</v>
      </c>
      <c r="Y7" s="40">
        <f>Plan_GuV!N7</f>
        <v>196822.4299</v>
      </c>
      <c r="Z7" s="40">
        <f>Plan_GuV!O7</f>
        <v>196822.4299</v>
      </c>
      <c r="AA7" s="40">
        <f>Plan_GuV!P7</f>
        <v>196822.4299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ht="15.75" customHeight="1">
      <c r="A8" s="12"/>
      <c r="B8" s="12"/>
      <c r="C8" s="12"/>
      <c r="D8" s="1"/>
      <c r="E8" s="13" t="s">
        <v>510</v>
      </c>
      <c r="F8" s="13"/>
      <c r="G8" s="40"/>
      <c r="H8" s="40">
        <v>637.5</v>
      </c>
      <c r="I8" s="212">
        <v>0.0</v>
      </c>
      <c r="J8" s="40"/>
      <c r="K8" s="210">
        <f t="shared" si="3"/>
        <v>637.5</v>
      </c>
      <c r="L8" s="40">
        <v>200.0</v>
      </c>
      <c r="M8" s="40">
        <v>200.0</v>
      </c>
      <c r="N8" s="40">
        <v>200.0</v>
      </c>
      <c r="O8" s="40">
        <v>200.0</v>
      </c>
      <c r="P8" s="40">
        <v>200.0</v>
      </c>
      <c r="Q8" s="40">
        <v>200.0</v>
      </c>
      <c r="R8" s="40">
        <f>'Betriebsgrößenanalyse'!$C32/12</f>
        <v>150</v>
      </c>
      <c r="S8" s="40">
        <f>'Betriebsgrößenanalyse'!$C32/12</f>
        <v>150</v>
      </c>
      <c r="T8" s="40">
        <f>'Betriebsgrößenanalyse'!$C32/12</f>
        <v>150</v>
      </c>
      <c r="U8" s="40">
        <f>'Betriebsgrößenanalyse'!$C32/12</f>
        <v>150</v>
      </c>
      <c r="V8" s="40">
        <f>'Betriebsgrößenanalyse'!$C32/12</f>
        <v>150</v>
      </c>
      <c r="W8" s="40">
        <f>'Betriebsgrößenanalyse'!$C32/12</f>
        <v>150</v>
      </c>
      <c r="X8" s="210">
        <f t="shared" si="7"/>
        <v>2100</v>
      </c>
      <c r="Y8" s="40">
        <f>Plan_GuV!N8</f>
        <v>0</v>
      </c>
      <c r="Z8" s="40">
        <f>Plan_GuV!O8</f>
        <v>0</v>
      </c>
      <c r="AA8" s="40">
        <f>Plan_GuV!P8</f>
        <v>0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ht="15.75" customHeight="1">
      <c r="A9" s="12"/>
      <c r="B9" s="12"/>
      <c r="C9" s="12"/>
      <c r="D9" s="1" t="s">
        <v>177</v>
      </c>
      <c r="E9" s="13"/>
      <c r="F9" s="13"/>
      <c r="G9" s="40"/>
      <c r="H9" s="40"/>
      <c r="I9" s="212"/>
      <c r="J9" s="40">
        <f>SUM(J10:J15)</f>
        <v>2850</v>
      </c>
      <c r="K9" s="210">
        <f t="shared" si="3"/>
        <v>2850</v>
      </c>
      <c r="L9" s="40">
        <f t="shared" ref="L9:R9" si="8">SUM(L10:L15)</f>
        <v>0</v>
      </c>
      <c r="M9" s="40">
        <f t="shared" si="8"/>
        <v>0</v>
      </c>
      <c r="N9" s="213">
        <f t="shared" si="8"/>
        <v>0</v>
      </c>
      <c r="O9" s="40">
        <f t="shared" si="8"/>
        <v>0</v>
      </c>
      <c r="P9" s="40">
        <f t="shared" si="8"/>
        <v>0</v>
      </c>
      <c r="Q9" s="40">
        <f t="shared" si="8"/>
        <v>0</v>
      </c>
      <c r="R9" s="40">
        <f t="shared" si="8"/>
        <v>0</v>
      </c>
      <c r="S9" s="40">
        <v>0.0</v>
      </c>
      <c r="T9" s="40">
        <v>0.0</v>
      </c>
      <c r="U9" s="40">
        <v>0.0</v>
      </c>
      <c r="V9" s="40">
        <v>0.0</v>
      </c>
      <c r="W9" s="40">
        <v>0.0</v>
      </c>
      <c r="X9" s="210">
        <f t="shared" ref="X9:AA9" si="9">SUM(X10:X15)</f>
        <v>0</v>
      </c>
      <c r="Y9" s="40">
        <f t="shared" si="9"/>
        <v>0</v>
      </c>
      <c r="Z9" s="40">
        <f t="shared" si="9"/>
        <v>0</v>
      </c>
      <c r="AA9" s="40">
        <f t="shared" si="9"/>
        <v>0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ht="15.75" customHeight="1">
      <c r="A10" s="12"/>
      <c r="B10" s="12"/>
      <c r="C10" s="12"/>
      <c r="D10" s="12"/>
      <c r="E10" s="13" t="str">
        <f>'Betriebsgrößenanalyse'!A35</f>
        <v>Umstellungs- /Beibehaltungsprämie ökologischer Gemüsebau</v>
      </c>
      <c r="F10" s="13">
        <v>0.0</v>
      </c>
      <c r="G10" s="40">
        <v>0.0</v>
      </c>
      <c r="H10" s="40">
        <v>0.0</v>
      </c>
      <c r="I10" s="212">
        <v>0.0</v>
      </c>
      <c r="J10" s="40">
        <v>0.0</v>
      </c>
      <c r="K10" s="210">
        <f t="shared" si="3"/>
        <v>0</v>
      </c>
      <c r="L10" s="40">
        <v>0.0</v>
      </c>
      <c r="M10" s="40">
        <v>0.0</v>
      </c>
      <c r="N10" s="213">
        <v>0.0</v>
      </c>
      <c r="O10" s="40">
        <v>0.0</v>
      </c>
      <c r="P10" s="40">
        <v>0.0</v>
      </c>
      <c r="Q10" s="40">
        <v>0.0</v>
      </c>
      <c r="R10" s="40">
        <v>0.0</v>
      </c>
      <c r="S10" s="40">
        <v>0.0</v>
      </c>
      <c r="T10" s="40">
        <v>0.0</v>
      </c>
      <c r="U10" s="40">
        <v>0.0</v>
      </c>
      <c r="V10" s="40">
        <v>0.0</v>
      </c>
      <c r="W10" s="40">
        <f>Plan_GuV!L10</f>
        <v>0</v>
      </c>
      <c r="X10" s="210">
        <f t="shared" ref="X10:X15" si="10">SUM(L10:W10)</f>
        <v>0</v>
      </c>
      <c r="Y10" s="40">
        <f>Plan_GuV!L10</f>
        <v>0</v>
      </c>
      <c r="Z10" s="40">
        <f>Plan_GuV!L10</f>
        <v>0</v>
      </c>
      <c r="AA10" s="40">
        <f>Plan_GuV!L10</f>
        <v>0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ht="15.75" customHeight="1">
      <c r="A11" s="12"/>
      <c r="B11" s="12">
        <v>6300.0</v>
      </c>
      <c r="C11" s="12"/>
      <c r="D11" s="12"/>
      <c r="E11" s="13" t="s">
        <v>511</v>
      </c>
      <c r="F11" s="13">
        <v>6300.0</v>
      </c>
      <c r="G11" s="40">
        <v>2100.0</v>
      </c>
      <c r="H11" s="40">
        <v>2100.0</v>
      </c>
      <c r="I11" s="212">
        <v>4800.0</v>
      </c>
      <c r="J11" s="40">
        <v>2850.0</v>
      </c>
      <c r="K11" s="210">
        <f t="shared" si="3"/>
        <v>18150</v>
      </c>
      <c r="L11" s="40">
        <v>0.0</v>
      </c>
      <c r="M11" s="40">
        <v>0.0</v>
      </c>
      <c r="N11" s="213">
        <v>0.0</v>
      </c>
      <c r="O11" s="40">
        <v>0.0</v>
      </c>
      <c r="P11" s="40">
        <v>0.0</v>
      </c>
      <c r="Q11" s="40">
        <v>0.0</v>
      </c>
      <c r="R11" s="40">
        <v>0.0</v>
      </c>
      <c r="S11" s="40">
        <v>0.0</v>
      </c>
      <c r="T11" s="40">
        <v>0.0</v>
      </c>
      <c r="U11" s="40">
        <v>0.0</v>
      </c>
      <c r="V11" s="40">
        <v>0.0</v>
      </c>
      <c r="W11" s="40">
        <v>0.0</v>
      </c>
      <c r="X11" s="210">
        <f t="shared" si="10"/>
        <v>0</v>
      </c>
      <c r="Y11" s="40">
        <f>'Mitglieder-_&amp;_Umsatzwachstum'!AC4*Datengrundlage!C8</f>
        <v>0</v>
      </c>
      <c r="Z11" s="40">
        <f>'Mitglieder-_&amp;_Umsatzwachstum'!AO4*Datengrundlage!C8</f>
        <v>0</v>
      </c>
      <c r="AA11" s="40">
        <f>'Mitglieder-_&amp;_Umsatzwachstum'!BA4*Datengrundlage!C8</f>
        <v>0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ht="15.75" customHeight="1">
      <c r="A12" s="12"/>
      <c r="B12" s="12"/>
      <c r="C12" s="12"/>
      <c r="D12" s="12"/>
      <c r="E12" s="13" t="str">
        <f>'Betriebsgrößenanalyse'!A37</f>
        <v>Betriebsprämie Direktzahlung</v>
      </c>
      <c r="F12" s="13">
        <v>0.0</v>
      </c>
      <c r="G12" s="40">
        <v>0.0</v>
      </c>
      <c r="H12" s="40">
        <v>0.0</v>
      </c>
      <c r="I12" s="212">
        <v>0.0</v>
      </c>
      <c r="J12" s="40">
        <v>0.0</v>
      </c>
      <c r="K12" s="210">
        <f t="shared" si="3"/>
        <v>0</v>
      </c>
      <c r="L12" s="40">
        <v>0.0</v>
      </c>
      <c r="M12" s="40">
        <v>0.0</v>
      </c>
      <c r="N12" s="213">
        <v>0.0</v>
      </c>
      <c r="O12" s="40">
        <v>0.0</v>
      </c>
      <c r="P12" s="40">
        <v>0.0</v>
      </c>
      <c r="Q12" s="40">
        <v>0.0</v>
      </c>
      <c r="R12" s="40">
        <v>0.0</v>
      </c>
      <c r="S12" s="40">
        <v>0.0</v>
      </c>
      <c r="T12" s="40">
        <v>0.0</v>
      </c>
      <c r="U12" s="40">
        <v>0.0</v>
      </c>
      <c r="V12" s="40">
        <v>0.0</v>
      </c>
      <c r="W12" s="40">
        <f>Plan_GuV!L12</f>
        <v>0</v>
      </c>
      <c r="X12" s="210">
        <f t="shared" si="10"/>
        <v>0</v>
      </c>
      <c r="Y12" s="40">
        <f>Plan_GuV!L12</f>
        <v>0</v>
      </c>
      <c r="Z12" s="40">
        <f>Plan_GuV!L12</f>
        <v>0</v>
      </c>
      <c r="AA12" s="40">
        <f>Plan_GuV!L12</f>
        <v>0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ht="15.75" customHeight="1">
      <c r="A13" s="12"/>
      <c r="B13" s="12"/>
      <c r="C13" s="12"/>
      <c r="D13" s="12"/>
      <c r="E13" s="13" t="str">
        <f>'Betriebsgrößenanalyse'!A38</f>
        <v>Mieteinnahmen (6 Monate pro Jahr)</v>
      </c>
      <c r="F13" s="13">
        <v>0.0</v>
      </c>
      <c r="G13" s="40">
        <v>0.0</v>
      </c>
      <c r="H13" s="40">
        <v>0.0</v>
      </c>
      <c r="I13" s="212">
        <v>0.0</v>
      </c>
      <c r="J13" s="40">
        <v>0.0</v>
      </c>
      <c r="K13" s="210">
        <f t="shared" si="3"/>
        <v>0</v>
      </c>
      <c r="L13" s="40">
        <v>0.0</v>
      </c>
      <c r="M13" s="40">
        <v>0.0</v>
      </c>
      <c r="N13" s="213">
        <v>0.0</v>
      </c>
      <c r="O13" s="40">
        <v>0.0</v>
      </c>
      <c r="P13" s="40">
        <v>0.0</v>
      </c>
      <c r="Q13" s="40">
        <v>0.0</v>
      </c>
      <c r="R13" s="40">
        <v>0.0</v>
      </c>
      <c r="S13" s="40">
        <v>0.0</v>
      </c>
      <c r="T13" s="40">
        <v>0.0</v>
      </c>
      <c r="U13" s="40">
        <f>'Betriebsgrößenanalyse'!$G$38/6</f>
        <v>0</v>
      </c>
      <c r="V13" s="40">
        <f>'Betriebsgrößenanalyse'!$G$38/6</f>
        <v>0</v>
      </c>
      <c r="W13" s="40">
        <f>'Betriebsgrößenanalyse'!$G$38/6</f>
        <v>0</v>
      </c>
      <c r="X13" s="210">
        <f t="shared" si="10"/>
        <v>0</v>
      </c>
      <c r="Y13" s="40">
        <f>'Betriebsgrößenanalyse'!$G$38</f>
        <v>0</v>
      </c>
      <c r="Z13" s="40">
        <f>'Betriebsgrößenanalyse'!$G$38</f>
        <v>0</v>
      </c>
      <c r="AA13" s="40">
        <f>'Betriebsgrößenanalyse'!$G$38</f>
        <v>0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ht="15.75" customHeight="1">
      <c r="A14" s="12"/>
      <c r="B14" s="12"/>
      <c r="C14" s="12"/>
      <c r="D14" s="12"/>
      <c r="E14" s="13" t="str">
        <f>'Betriebsgrößenanalyse'!A39</f>
        <v>Kontrollkostenzuschuss</v>
      </c>
      <c r="F14" s="13">
        <v>0.0</v>
      </c>
      <c r="G14" s="40">
        <v>0.0</v>
      </c>
      <c r="H14" s="40">
        <v>0.0</v>
      </c>
      <c r="I14" s="212">
        <v>0.0</v>
      </c>
      <c r="J14" s="40">
        <v>0.0</v>
      </c>
      <c r="K14" s="210">
        <f t="shared" si="3"/>
        <v>0</v>
      </c>
      <c r="L14" s="40">
        <v>0.0</v>
      </c>
      <c r="M14" s="40">
        <v>0.0</v>
      </c>
      <c r="N14" s="213">
        <v>0.0</v>
      </c>
      <c r="O14" s="40">
        <v>0.0</v>
      </c>
      <c r="P14" s="40">
        <v>0.0</v>
      </c>
      <c r="Q14" s="40">
        <v>0.0</v>
      </c>
      <c r="R14" s="40">
        <v>0.0</v>
      </c>
      <c r="S14" s="40">
        <v>0.0</v>
      </c>
      <c r="T14" s="40">
        <v>0.0</v>
      </c>
      <c r="U14" s="40">
        <v>0.0</v>
      </c>
      <c r="V14" s="40">
        <v>0.0</v>
      </c>
      <c r="W14" s="40">
        <v>0.0</v>
      </c>
      <c r="X14" s="210">
        <f t="shared" si="10"/>
        <v>0</v>
      </c>
      <c r="Y14" s="40">
        <f t="shared" ref="Y14:AA14" si="11">SUM(M14:X14)</f>
        <v>0</v>
      </c>
      <c r="Z14" s="40">
        <f t="shared" si="11"/>
        <v>0</v>
      </c>
      <c r="AA14" s="40">
        <f t="shared" si="11"/>
        <v>0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ht="15.75" customHeight="1">
      <c r="A15" s="12"/>
      <c r="B15" s="12"/>
      <c r="C15" s="12"/>
      <c r="D15" s="12"/>
      <c r="E15" s="214" t="str">
        <f>'Betriebsgrößenanalyse'!A40</f>
        <v>Crowdfunding</v>
      </c>
      <c r="F15" s="214">
        <v>0.0</v>
      </c>
      <c r="G15" s="40">
        <v>0.0</v>
      </c>
      <c r="H15" s="40">
        <v>0.0</v>
      </c>
      <c r="I15" s="212">
        <v>0.0</v>
      </c>
      <c r="J15" s="40"/>
      <c r="K15" s="210">
        <f t="shared" si="3"/>
        <v>0</v>
      </c>
      <c r="L15" s="40">
        <v>0.0</v>
      </c>
      <c r="M15" s="40"/>
      <c r="N15" s="213">
        <v>0.0</v>
      </c>
      <c r="O15" s="40">
        <v>0.0</v>
      </c>
      <c r="P15" s="40">
        <v>0.0</v>
      </c>
      <c r="Q15" s="40">
        <v>0.0</v>
      </c>
      <c r="R15" s="40">
        <v>0.0</v>
      </c>
      <c r="S15" s="40">
        <v>0.0</v>
      </c>
      <c r="T15" s="40">
        <v>0.0</v>
      </c>
      <c r="U15" s="40">
        <v>0.0</v>
      </c>
      <c r="V15" s="40">
        <v>0.0</v>
      </c>
      <c r="W15" s="40">
        <v>0.0</v>
      </c>
      <c r="X15" s="210">
        <f t="shared" si="10"/>
        <v>0</v>
      </c>
      <c r="Y15" s="40">
        <v>0.0</v>
      </c>
      <c r="Z15" s="40">
        <v>0.0</v>
      </c>
      <c r="AA15" s="40">
        <v>0.0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ht="15.75" customHeight="1">
      <c r="A16" s="12"/>
      <c r="B16" s="12"/>
      <c r="C16" s="12"/>
      <c r="D16" s="12"/>
      <c r="E16" s="13" t="s">
        <v>512</v>
      </c>
      <c r="F16" s="13">
        <v>355.0</v>
      </c>
      <c r="G16" s="40"/>
      <c r="H16" s="40">
        <v>50.0</v>
      </c>
      <c r="I16" s="212"/>
      <c r="J16" s="40"/>
      <c r="K16" s="210">
        <f t="shared" si="3"/>
        <v>405</v>
      </c>
      <c r="L16" s="40"/>
      <c r="M16" s="40"/>
      <c r="N16" s="213"/>
      <c r="O16" s="40"/>
      <c r="P16" s="40"/>
      <c r="Q16" s="40"/>
      <c r="R16" s="40"/>
      <c r="S16" s="40"/>
      <c r="T16" s="40"/>
      <c r="U16" s="40"/>
      <c r="V16" s="40"/>
      <c r="W16" s="40"/>
      <c r="X16" s="21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ht="12.75" customHeight="1">
      <c r="A17" s="12"/>
      <c r="B17" s="12"/>
      <c r="C17" s="12"/>
      <c r="D17" s="13" t="s">
        <v>513</v>
      </c>
      <c r="F17" s="13"/>
      <c r="G17" s="40"/>
      <c r="H17" s="40">
        <f t="shared" ref="H17:J17" si="12">H6*0.07</f>
        <v>0</v>
      </c>
      <c r="I17" s="212">
        <f t="shared" si="12"/>
        <v>0</v>
      </c>
      <c r="J17" s="40">
        <f t="shared" si="12"/>
        <v>0</v>
      </c>
      <c r="K17" s="210">
        <f t="shared" si="3"/>
        <v>0</v>
      </c>
      <c r="L17" s="40">
        <f t="shared" ref="L17:AA17" si="13">L6*0.07</f>
        <v>14</v>
      </c>
      <c r="M17" s="40">
        <f t="shared" si="13"/>
        <v>14</v>
      </c>
      <c r="N17" s="213">
        <f t="shared" si="13"/>
        <v>524.2803738</v>
      </c>
      <c r="O17" s="40">
        <f t="shared" si="13"/>
        <v>575.3103738</v>
      </c>
      <c r="P17" s="40">
        <f t="shared" si="13"/>
        <v>626.3403738</v>
      </c>
      <c r="Q17" s="40">
        <f t="shared" si="13"/>
        <v>677.3703738</v>
      </c>
      <c r="R17" s="40">
        <f t="shared" si="13"/>
        <v>724.9003738</v>
      </c>
      <c r="S17" s="40">
        <f t="shared" si="13"/>
        <v>724.9003738</v>
      </c>
      <c r="T17" s="40">
        <f t="shared" si="13"/>
        <v>724.9003738</v>
      </c>
      <c r="U17" s="40">
        <f t="shared" si="13"/>
        <v>724.9003738</v>
      </c>
      <c r="V17" s="40">
        <f t="shared" si="13"/>
        <v>724.9003738</v>
      </c>
      <c r="W17" s="40">
        <f t="shared" si="13"/>
        <v>724.9003738</v>
      </c>
      <c r="X17" s="215">
        <f t="shared" si="13"/>
        <v>6780.703738</v>
      </c>
      <c r="Y17" s="40">
        <f t="shared" si="13"/>
        <v>13777.57009</v>
      </c>
      <c r="Z17" s="40">
        <f t="shared" si="13"/>
        <v>13777.57009</v>
      </c>
      <c r="AA17" s="40">
        <f t="shared" si="13"/>
        <v>13777.57009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ht="15.75" customHeight="1">
      <c r="A18" s="12"/>
      <c r="B18" s="12"/>
      <c r="C18" s="12"/>
      <c r="D18" s="12"/>
      <c r="E18" s="13"/>
      <c r="F18" s="13"/>
      <c r="G18" s="40"/>
      <c r="H18" s="40"/>
      <c r="I18" s="212"/>
      <c r="J18" s="40"/>
      <c r="K18" s="210"/>
      <c r="L18" s="40"/>
      <c r="M18" s="40"/>
      <c r="N18" s="213"/>
      <c r="O18" s="40"/>
      <c r="P18" s="40"/>
      <c r="Q18" s="40"/>
      <c r="R18" s="40"/>
      <c r="S18" s="40"/>
      <c r="T18" s="40"/>
      <c r="U18" s="40"/>
      <c r="V18" s="40"/>
      <c r="W18" s="40"/>
      <c r="X18" s="210"/>
      <c r="Y18" s="40"/>
      <c r="Z18" s="40"/>
      <c r="AA18" s="40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ht="15.75" customHeight="1">
      <c r="A19" s="5"/>
      <c r="B19" s="5"/>
      <c r="C19" s="5" t="s">
        <v>514</v>
      </c>
      <c r="D19" s="5"/>
      <c r="E19" s="208"/>
      <c r="F19" s="38">
        <f t="shared" ref="F19:J19" si="14">(F20+F41+F45+F77+F79+F81+F83+F85+F87+F89)</f>
        <v>2391</v>
      </c>
      <c r="G19" s="38">
        <f t="shared" si="14"/>
        <v>1654.44</v>
      </c>
      <c r="H19" s="38">
        <f t="shared" si="14"/>
        <v>3826</v>
      </c>
      <c r="I19" s="209">
        <f t="shared" si="14"/>
        <v>4304.93</v>
      </c>
      <c r="J19" s="38">
        <f t="shared" si="14"/>
        <v>21983.72</v>
      </c>
      <c r="K19" s="210">
        <f t="shared" ref="K19:K39" si="17">SUM(F19:J19)</f>
        <v>34160.09</v>
      </c>
      <c r="L19" s="38">
        <f t="shared" ref="L19:AA19" si="15">(L20+L41+L45+L77+L79+L81+L83+L85+L87+L89)</f>
        <v>14952.99311</v>
      </c>
      <c r="M19" s="38">
        <f t="shared" si="15"/>
        <v>20410.54451</v>
      </c>
      <c r="N19" s="211">
        <f t="shared" si="15"/>
        <v>28488.18978</v>
      </c>
      <c r="O19" s="38">
        <f t="shared" si="15"/>
        <v>28962.60019</v>
      </c>
      <c r="P19" s="38">
        <f t="shared" si="15"/>
        <v>6933.048072</v>
      </c>
      <c r="Q19" s="38">
        <f t="shared" si="15"/>
        <v>7083.841372</v>
      </c>
      <c r="R19" s="38">
        <f t="shared" si="15"/>
        <v>7680.747054</v>
      </c>
      <c r="S19" s="38">
        <f t="shared" si="15"/>
        <v>7117.002938</v>
      </c>
      <c r="T19" s="38">
        <f t="shared" si="15"/>
        <v>26495.49044</v>
      </c>
      <c r="U19" s="38">
        <f t="shared" si="15"/>
        <v>7140.979454</v>
      </c>
      <c r="V19" s="38">
        <f t="shared" si="15"/>
        <v>6611.914638</v>
      </c>
      <c r="W19" s="38">
        <f t="shared" si="15"/>
        <v>6408.550438</v>
      </c>
      <c r="X19" s="210">
        <f t="shared" si="15"/>
        <v>167333.902</v>
      </c>
      <c r="Y19" s="38" t="str">
        <f t="shared" si="15"/>
        <v>#REF!</v>
      </c>
      <c r="Z19" s="38" t="str">
        <f t="shared" si="15"/>
        <v>#REF!</v>
      </c>
      <c r="AA19" s="38" t="str">
        <f t="shared" si="15"/>
        <v>#REF!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ht="15.75" customHeight="1">
      <c r="A20" s="12"/>
      <c r="B20" s="12"/>
      <c r="C20" s="12"/>
      <c r="D20" s="1" t="s">
        <v>185</v>
      </c>
      <c r="E20" s="13"/>
      <c r="F20" s="13"/>
      <c r="G20" s="40">
        <f t="shared" ref="G20:J20" si="16">SUM(G21:G26,G28,G34:G39)</f>
        <v>524</v>
      </c>
      <c r="H20" s="40">
        <f t="shared" si="16"/>
        <v>0</v>
      </c>
      <c r="I20" s="212">
        <f t="shared" si="16"/>
        <v>731</v>
      </c>
      <c r="J20" s="40">
        <f t="shared" si="16"/>
        <v>256</v>
      </c>
      <c r="K20" s="210">
        <f t="shared" si="17"/>
        <v>1511</v>
      </c>
      <c r="L20" s="40">
        <f t="shared" ref="L20:AA20" si="18">SUM(L21:L26,L28,L34:L39)</f>
        <v>1001.5886</v>
      </c>
      <c r="M20" s="40">
        <f t="shared" si="18"/>
        <v>986.14</v>
      </c>
      <c r="N20" s="213">
        <f t="shared" si="18"/>
        <v>2876.5049</v>
      </c>
      <c r="O20" s="40">
        <f t="shared" si="18"/>
        <v>2730.848489</v>
      </c>
      <c r="P20" s="40">
        <f t="shared" si="18"/>
        <v>1154.990689</v>
      </c>
      <c r="Q20" s="40">
        <f t="shared" si="18"/>
        <v>947.4964889</v>
      </c>
      <c r="R20" s="40">
        <f t="shared" si="18"/>
        <v>1048.205356</v>
      </c>
      <c r="S20" s="40">
        <f t="shared" si="18"/>
        <v>954.6980556</v>
      </c>
      <c r="T20" s="40">
        <f t="shared" si="18"/>
        <v>683.1855556</v>
      </c>
      <c r="U20" s="40">
        <f t="shared" si="18"/>
        <v>928.4377556</v>
      </c>
      <c r="V20" s="40">
        <f t="shared" si="18"/>
        <v>799.6097556</v>
      </c>
      <c r="W20" s="40">
        <f t="shared" si="18"/>
        <v>596.2455556</v>
      </c>
      <c r="X20" s="210">
        <f t="shared" si="18"/>
        <v>13907.9512</v>
      </c>
      <c r="Y20" s="40">
        <f t="shared" si="18"/>
        <v>20941.8725</v>
      </c>
      <c r="Z20" s="40">
        <f t="shared" si="18"/>
        <v>20941.8725</v>
      </c>
      <c r="AA20" s="40">
        <f t="shared" si="18"/>
        <v>20941.8725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ht="15.75" customHeight="1">
      <c r="A21" s="12"/>
      <c r="B21" s="12"/>
      <c r="C21" s="12"/>
      <c r="D21" s="12"/>
      <c r="E21" s="214" t="str">
        <f>'Betriebsgrößenanalyse'!A45</f>
        <v>Saat- und Pflanzgut</v>
      </c>
      <c r="F21" s="214"/>
      <c r="G21" s="40"/>
      <c r="H21" s="40">
        <v>0.0</v>
      </c>
      <c r="I21" s="212">
        <v>0.0</v>
      </c>
      <c r="J21" s="40">
        <v>0.0</v>
      </c>
      <c r="K21" s="210">
        <f t="shared" si="17"/>
        <v>0</v>
      </c>
      <c r="L21" s="216">
        <f>'PflanzSaatkosten monatl.'!D5*1.07</f>
        <v>131.5886</v>
      </c>
      <c r="M21" s="216">
        <f>'PflanzSaatkosten monatl.'!E133*1.07</f>
        <v>751.14</v>
      </c>
      <c r="N21" s="217">
        <f>SUM('PflanzSaatkosten monatl.'!F14,'PflanzSaatkosten monatl.'!F19)*1.07</f>
        <v>413.0949</v>
      </c>
      <c r="O21" s="216">
        <f>SUM('PflanzSaatkosten monatl.'!G30,'PflanzSaatkosten monatl.'!G44)*1.07</f>
        <v>2068.0746</v>
      </c>
      <c r="P21" s="216">
        <f>SUM('PflanzSaatkosten monatl.'!H51,'PflanzSaatkosten monatl.'!H59)*1.07</f>
        <v>366.4643</v>
      </c>
      <c r="Q21" s="216">
        <f>SUM('PflanzSaatkosten monatl.'!I63,'PflanzSaatkosten monatl.'!I70)*1.07</f>
        <v>424.4476</v>
      </c>
      <c r="R21" s="216">
        <f>SUM('PflanzSaatkosten monatl.'!J78,'PflanzSaatkosten monatl.'!J84)*1.07</f>
        <v>365.0198</v>
      </c>
      <c r="S21" s="216">
        <f>SUM('PflanzSaatkosten monatl.'!K92,'PflanzSaatkosten monatl.'!K98)*1.07</f>
        <v>271.5125</v>
      </c>
      <c r="T21" s="216">
        <v>0.0</v>
      </c>
      <c r="U21" s="216">
        <f>SUM('PflanzSaatkosten monatl.'!M104)*1.07</f>
        <v>332.1922</v>
      </c>
      <c r="V21" s="216">
        <f>SUM('PflanzSaatkosten monatl.'!N108)*1.07</f>
        <v>203.3642</v>
      </c>
      <c r="W21" s="216">
        <v>0.0</v>
      </c>
      <c r="X21" s="210">
        <f t="shared" ref="X21:X27" si="19">SUM(L21:W21)</f>
        <v>5326.8987</v>
      </c>
      <c r="Y21" s="40">
        <f>Plan_GuV!N19</f>
        <v>5601.925</v>
      </c>
      <c r="Z21" s="40">
        <f>Plan_GuV!O19</f>
        <v>5601.925</v>
      </c>
      <c r="AA21" s="40">
        <f>Plan_GuV!P19</f>
        <v>5601.925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ht="15.75" customHeight="1">
      <c r="A22" s="12"/>
      <c r="B22" s="12"/>
      <c r="C22" s="12"/>
      <c r="D22" s="12"/>
      <c r="E22" s="214"/>
      <c r="F22" s="214">
        <v>0.0</v>
      </c>
      <c r="G22" s="40">
        <v>0.0</v>
      </c>
      <c r="H22" s="40">
        <v>0.0</v>
      </c>
      <c r="I22" s="212">
        <v>0.0</v>
      </c>
      <c r="J22" s="40">
        <v>0.0</v>
      </c>
      <c r="K22" s="210">
        <f t="shared" si="17"/>
        <v>0</v>
      </c>
      <c r="L22" s="40">
        <v>0.0</v>
      </c>
      <c r="M22" s="40">
        <v>0.0</v>
      </c>
      <c r="N22" s="213"/>
      <c r="O22" s="40">
        <v>0.0</v>
      </c>
      <c r="P22" s="40">
        <v>0.0</v>
      </c>
      <c r="Q22" s="40">
        <v>0.0</v>
      </c>
      <c r="R22" s="40">
        <v>0.0</v>
      </c>
      <c r="S22" s="40">
        <v>0.0</v>
      </c>
      <c r="T22" s="40">
        <v>0.0</v>
      </c>
      <c r="U22" s="40">
        <v>0.0</v>
      </c>
      <c r="V22" s="40">
        <v>0.0</v>
      </c>
      <c r="W22" s="40">
        <v>0.0</v>
      </c>
      <c r="X22" s="210">
        <f t="shared" si="19"/>
        <v>0</v>
      </c>
      <c r="Y22" s="40">
        <f>Plan_GuV!N20</f>
        <v>4060.875</v>
      </c>
      <c r="Z22" s="40">
        <f>Plan_GuV!O20</f>
        <v>4060.875</v>
      </c>
      <c r="AA22" s="40">
        <f>Plan_GuV!P20</f>
        <v>4060.875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ht="15.75" customHeight="1">
      <c r="A23" s="12"/>
      <c r="B23" s="12"/>
      <c r="C23" s="12"/>
      <c r="D23" s="12"/>
      <c r="E23" s="214" t="str">
        <f>'Betriebsgrößenanalyse'!A47</f>
        <v>Anzuchterde</v>
      </c>
      <c r="F23" s="214">
        <v>0.0</v>
      </c>
      <c r="G23" s="40">
        <v>0.0</v>
      </c>
      <c r="H23" s="40">
        <v>0.0</v>
      </c>
      <c r="I23" s="212">
        <v>0.0</v>
      </c>
      <c r="J23" s="40">
        <v>0.0</v>
      </c>
      <c r="K23" s="210">
        <f t="shared" si="17"/>
        <v>0</v>
      </c>
      <c r="L23" s="40">
        <v>0.0</v>
      </c>
      <c r="M23" s="40">
        <v>0.0</v>
      </c>
      <c r="N23" s="213">
        <f>'Betriebsgrößenanalyse'!C47</f>
        <v>325.5</v>
      </c>
      <c r="O23" s="40">
        <v>0.0</v>
      </c>
      <c r="P23" s="40">
        <v>0.0</v>
      </c>
      <c r="Q23" s="40">
        <v>0.0</v>
      </c>
      <c r="R23" s="40">
        <v>0.0</v>
      </c>
      <c r="S23" s="40">
        <v>0.0</v>
      </c>
      <c r="T23" s="40">
        <v>0.0</v>
      </c>
      <c r="U23" s="40">
        <v>0.0</v>
      </c>
      <c r="V23" s="40">
        <v>0.0</v>
      </c>
      <c r="W23" s="40">
        <v>0.0</v>
      </c>
      <c r="X23" s="210">
        <f t="shared" si="19"/>
        <v>325.5</v>
      </c>
      <c r="Y23" s="40">
        <f>Plan_GuV!N21</f>
        <v>759.5</v>
      </c>
      <c r="Z23" s="40">
        <f>Plan_GuV!O21</f>
        <v>759.5</v>
      </c>
      <c r="AA23" s="40">
        <f>Plan_GuV!P21</f>
        <v>759.5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ht="15.75" customHeight="1">
      <c r="A24" s="12"/>
      <c r="B24" s="12"/>
      <c r="C24" s="12"/>
      <c r="D24" s="12"/>
      <c r="E24" s="214" t="str">
        <f>'Betriebsgrößenanalyse'!A48</f>
        <v>Pflanzenschutz</v>
      </c>
      <c r="F24" s="214">
        <v>0.0</v>
      </c>
      <c r="G24" s="40">
        <v>0.0</v>
      </c>
      <c r="H24" s="40">
        <v>0.0</v>
      </c>
      <c r="I24" s="212">
        <v>0.0</v>
      </c>
      <c r="J24" s="40">
        <v>0.0</v>
      </c>
      <c r="K24" s="210">
        <f t="shared" si="17"/>
        <v>0</v>
      </c>
      <c r="L24" s="40">
        <v>0.0</v>
      </c>
      <c r="M24" s="40">
        <v>0.0</v>
      </c>
      <c r="N24" s="213">
        <v>0.0</v>
      </c>
      <c r="O24" s="40">
        <f>'Betriebsgrößenanalyse'!C48</f>
        <v>139.725</v>
      </c>
      <c r="P24" s="40">
        <v>0.0</v>
      </c>
      <c r="Q24" s="40">
        <v>0.0</v>
      </c>
      <c r="R24" s="40">
        <v>0.0</v>
      </c>
      <c r="S24" s="40">
        <v>0.0</v>
      </c>
      <c r="T24" s="40">
        <v>0.0</v>
      </c>
      <c r="U24" s="40">
        <v>0.0</v>
      </c>
      <c r="V24" s="40">
        <v>0.0</v>
      </c>
      <c r="W24" s="40">
        <v>0.0</v>
      </c>
      <c r="X24" s="210">
        <f t="shared" si="19"/>
        <v>139.725</v>
      </c>
      <c r="Y24" s="40">
        <f>Plan_GuV!N22</f>
        <v>326.025</v>
      </c>
      <c r="Z24" s="40">
        <f>Plan_GuV!O22</f>
        <v>326.025</v>
      </c>
      <c r="AA24" s="40">
        <f>Plan_GuV!P22</f>
        <v>326.025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ht="15.75" customHeight="1">
      <c r="A25" s="12"/>
      <c r="B25" s="12"/>
      <c r="C25" s="12"/>
      <c r="D25" s="12"/>
      <c r="E25" s="214" t="str">
        <f>'Betriebsgrößenanalyse'!A49</f>
        <v>Düngemittel</v>
      </c>
      <c r="F25" s="214">
        <v>0.0</v>
      </c>
      <c r="G25" s="40">
        <v>0.0</v>
      </c>
      <c r="H25" s="40">
        <v>0.0</v>
      </c>
      <c r="I25" s="212">
        <v>0.0</v>
      </c>
      <c r="J25" s="40">
        <v>0.0</v>
      </c>
      <c r="K25" s="210">
        <f t="shared" si="17"/>
        <v>0</v>
      </c>
      <c r="L25" s="40">
        <v>0.0</v>
      </c>
      <c r="M25" s="40">
        <v>0.0</v>
      </c>
      <c r="N25" s="213">
        <v>0.0</v>
      </c>
      <c r="O25" s="40">
        <v>0.0</v>
      </c>
      <c r="P25" s="40">
        <f>'Betriebsgrößenanalyse'!C49</f>
        <v>265.4775</v>
      </c>
      <c r="Q25" s="40">
        <v>0.0</v>
      </c>
      <c r="R25" s="40">
        <v>0.0</v>
      </c>
      <c r="S25" s="40">
        <v>0.0</v>
      </c>
      <c r="T25" s="40">
        <v>0.0</v>
      </c>
      <c r="U25" s="40">
        <v>0.0</v>
      </c>
      <c r="V25" s="40">
        <v>0.0</v>
      </c>
      <c r="W25" s="40">
        <v>0.0</v>
      </c>
      <c r="X25" s="210">
        <f t="shared" si="19"/>
        <v>265.4775</v>
      </c>
      <c r="Y25" s="40">
        <f>Plan_GuV!N23</f>
        <v>619.4475</v>
      </c>
      <c r="Z25" s="40">
        <f>Plan_GuV!O23</f>
        <v>619.4475</v>
      </c>
      <c r="AA25" s="40">
        <f>Plan_GuV!P23</f>
        <v>619.4475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ht="15.75" customHeight="1">
      <c r="A26" s="12"/>
      <c r="B26" s="12"/>
      <c r="C26" s="12"/>
      <c r="D26" s="12"/>
      <c r="E26" s="214" t="str">
        <f>'Betriebsgrößenanalyse'!A50</f>
        <v>Werkzeuge und Kleingeräte</v>
      </c>
      <c r="F26" s="214">
        <v>0.0</v>
      </c>
      <c r="G26" s="40">
        <v>0.0</v>
      </c>
      <c r="H26" s="40">
        <v>0.0</v>
      </c>
      <c r="I26" s="212">
        <v>0.0</v>
      </c>
      <c r="J26" s="40">
        <v>256.0</v>
      </c>
      <c r="K26" s="210">
        <f t="shared" si="17"/>
        <v>256</v>
      </c>
      <c r="L26" s="40">
        <v>0.0</v>
      </c>
      <c r="M26" s="40">
        <v>0.0</v>
      </c>
      <c r="N26" s="213">
        <f>'Betriebsgrößenanalyse'!C50</f>
        <v>450</v>
      </c>
      <c r="O26" s="40">
        <v>0.0</v>
      </c>
      <c r="P26" s="40">
        <v>0.0</v>
      </c>
      <c r="Q26" s="40">
        <v>0.0</v>
      </c>
      <c r="R26" s="40">
        <v>0.0</v>
      </c>
      <c r="S26" s="40">
        <v>0.0</v>
      </c>
      <c r="T26" s="40">
        <v>0.0</v>
      </c>
      <c r="U26" s="40">
        <v>0.0</v>
      </c>
      <c r="V26" s="40">
        <v>0.0</v>
      </c>
      <c r="W26" s="40">
        <v>0.0</v>
      </c>
      <c r="X26" s="210">
        <f t="shared" si="19"/>
        <v>450</v>
      </c>
      <c r="Y26" s="40">
        <f>Plan_GuV!N24</f>
        <v>1050</v>
      </c>
      <c r="Z26" s="40">
        <f>Plan_GuV!O24</f>
        <v>1050</v>
      </c>
      <c r="AA26" s="40">
        <f>Plan_GuV!P24</f>
        <v>1050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ht="15.75" customHeight="1">
      <c r="A27" s="12"/>
      <c r="B27" s="12"/>
      <c r="C27" s="12"/>
      <c r="D27" s="12"/>
      <c r="E27" s="13" t="s">
        <v>515</v>
      </c>
      <c r="F27" s="13"/>
      <c r="G27" s="40"/>
      <c r="H27" s="40"/>
      <c r="I27" s="212"/>
      <c r="J27" s="40"/>
      <c r="K27" s="210">
        <f t="shared" si="17"/>
        <v>0</v>
      </c>
      <c r="L27" s="40"/>
      <c r="M27" s="40"/>
      <c r="N27" s="213">
        <v>4850.0</v>
      </c>
      <c r="O27" s="40">
        <v>4500.0</v>
      </c>
      <c r="P27" s="40">
        <v>1660.0</v>
      </c>
      <c r="Q27" s="40">
        <v>750.0</v>
      </c>
      <c r="R27" s="40">
        <v>810.0</v>
      </c>
      <c r="S27" s="40">
        <v>810.0</v>
      </c>
      <c r="T27" s="40">
        <v>1000.0</v>
      </c>
      <c r="U27" s="40">
        <v>810.0</v>
      </c>
      <c r="V27" s="40">
        <v>1050.0</v>
      </c>
      <c r="W27" s="40">
        <v>2900.0</v>
      </c>
      <c r="X27" s="210">
        <f t="shared" si="19"/>
        <v>19140</v>
      </c>
      <c r="Y27" s="40"/>
      <c r="Z27" s="40"/>
      <c r="AA27" s="40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ht="15.75" customHeight="1">
      <c r="A28" s="12"/>
      <c r="B28" s="12"/>
      <c r="C28" s="12"/>
      <c r="D28" s="12"/>
      <c r="E28" s="214" t="str">
        <f>'Betriebsgrößenanalyse'!A52</f>
        <v>Lohnarbeit</v>
      </c>
      <c r="F28" s="214"/>
      <c r="G28" s="40">
        <f>SUM(G29:G32)</f>
        <v>524</v>
      </c>
      <c r="H28" s="40"/>
      <c r="I28" s="212">
        <v>731.0</v>
      </c>
      <c r="J28" s="40">
        <f>SUM(J29:J32)</f>
        <v>0</v>
      </c>
      <c r="K28" s="210">
        <f t="shared" si="17"/>
        <v>1255</v>
      </c>
      <c r="L28" s="40">
        <v>800.0</v>
      </c>
      <c r="M28" s="40">
        <f t="shared" ref="M28:AA28" si="20">SUM(M29:M32)</f>
        <v>0</v>
      </c>
      <c r="N28" s="213">
        <f t="shared" si="20"/>
        <v>1172.5</v>
      </c>
      <c r="O28" s="40">
        <f t="shared" si="20"/>
        <v>0</v>
      </c>
      <c r="P28" s="40">
        <f t="shared" si="20"/>
        <v>0</v>
      </c>
      <c r="Q28" s="40">
        <f t="shared" si="20"/>
        <v>0</v>
      </c>
      <c r="R28" s="40">
        <f t="shared" si="20"/>
        <v>0</v>
      </c>
      <c r="S28" s="40">
        <f t="shared" si="20"/>
        <v>0</v>
      </c>
      <c r="T28" s="40">
        <f t="shared" si="20"/>
        <v>0</v>
      </c>
      <c r="U28" s="40">
        <f t="shared" si="20"/>
        <v>0</v>
      </c>
      <c r="V28" s="40">
        <f t="shared" si="20"/>
        <v>0</v>
      </c>
      <c r="W28" s="40">
        <f t="shared" si="20"/>
        <v>0</v>
      </c>
      <c r="X28" s="210">
        <f t="shared" si="20"/>
        <v>1172.5</v>
      </c>
      <c r="Y28" s="40">
        <f t="shared" si="20"/>
        <v>1435</v>
      </c>
      <c r="Z28" s="40">
        <f t="shared" si="20"/>
        <v>1435</v>
      </c>
      <c r="AA28" s="40">
        <f t="shared" si="20"/>
        <v>1435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ht="15.75" customHeight="1">
      <c r="A29" s="12"/>
      <c r="B29" s="12"/>
      <c r="C29" s="12"/>
      <c r="D29" s="12"/>
      <c r="E29" s="13" t="str">
        <f>'Betriebsgrößenanalyse'!A53</f>
        <v>Grundbodenbearbeitung</v>
      </c>
      <c r="F29" s="13">
        <v>0.0</v>
      </c>
      <c r="G29" s="40">
        <v>0.0</v>
      </c>
      <c r="H29" s="40">
        <v>0.0</v>
      </c>
      <c r="I29" s="212"/>
      <c r="J29" s="40">
        <v>0.0</v>
      </c>
      <c r="K29" s="210">
        <f t="shared" si="17"/>
        <v>0</v>
      </c>
      <c r="L29" s="40">
        <v>0.0</v>
      </c>
      <c r="M29" s="40">
        <v>0.0</v>
      </c>
      <c r="N29" s="213">
        <f>Plan_GuV!I26</f>
        <v>0</v>
      </c>
      <c r="O29" s="40">
        <v>0.0</v>
      </c>
      <c r="P29" s="40">
        <v>0.0</v>
      </c>
      <c r="Q29" s="40">
        <v>0.0</v>
      </c>
      <c r="R29" s="40">
        <v>0.0</v>
      </c>
      <c r="S29" s="40">
        <v>0.0</v>
      </c>
      <c r="T29" s="40">
        <v>0.0</v>
      </c>
      <c r="U29" s="40">
        <v>0.0</v>
      </c>
      <c r="V29" s="40">
        <v>0.0</v>
      </c>
      <c r="W29" s="40">
        <v>0.0</v>
      </c>
      <c r="X29" s="210">
        <f t="shared" ref="X29:X32" si="21">SUM(L29:W29)</f>
        <v>0</v>
      </c>
      <c r="Y29" s="40">
        <f>Plan_GuV!N26</f>
        <v>525</v>
      </c>
      <c r="Z29" s="40">
        <f>Plan_GuV!O26</f>
        <v>525</v>
      </c>
      <c r="AA29" s="40">
        <f>Plan_GuV!P26</f>
        <v>525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ht="15.75" customHeight="1">
      <c r="A30" s="12"/>
      <c r="B30" s="12"/>
      <c r="C30" s="12"/>
      <c r="D30" s="12"/>
      <c r="E30" s="13" t="str">
        <f>'Betriebsgrößenanalyse'!A54</f>
        <v>Grunddünger - Dünger und Ausbringung</v>
      </c>
      <c r="F30" s="13"/>
      <c r="G30" s="40">
        <v>524.0</v>
      </c>
      <c r="H30" s="40"/>
      <c r="I30" s="212">
        <f>Plan_GuV!F27</f>
        <v>0</v>
      </c>
      <c r="J30" s="40">
        <v>0.0</v>
      </c>
      <c r="K30" s="210">
        <f t="shared" si="17"/>
        <v>524</v>
      </c>
      <c r="L30" s="40">
        <v>0.0</v>
      </c>
      <c r="M30" s="40">
        <v>0.0</v>
      </c>
      <c r="N30" s="213">
        <f>Plan_GuV!I27</f>
        <v>647.5</v>
      </c>
      <c r="O30" s="40">
        <v>0.0</v>
      </c>
      <c r="P30" s="40">
        <v>0.0</v>
      </c>
      <c r="Q30" s="40">
        <v>0.0</v>
      </c>
      <c r="R30" s="40">
        <v>0.0</v>
      </c>
      <c r="S30" s="40">
        <v>0.0</v>
      </c>
      <c r="T30" s="40">
        <v>0.0</v>
      </c>
      <c r="U30" s="40">
        <v>0.0</v>
      </c>
      <c r="V30" s="40">
        <v>0.0</v>
      </c>
      <c r="W30" s="40">
        <v>0.0</v>
      </c>
      <c r="X30" s="210">
        <f t="shared" si="21"/>
        <v>647.5</v>
      </c>
      <c r="Y30" s="40">
        <f>Plan_GuV!N27</f>
        <v>647.5</v>
      </c>
      <c r="Z30" s="40">
        <f>Plan_GuV!O27</f>
        <v>647.5</v>
      </c>
      <c r="AA30" s="40">
        <f>Plan_GuV!P27</f>
        <v>647.5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ht="15.75" customHeight="1">
      <c r="A31" s="12"/>
      <c r="B31" s="12"/>
      <c r="C31" s="12"/>
      <c r="D31" s="12"/>
      <c r="E31" s="13" t="str">
        <f>'Betriebsgrößenanalyse'!A55</f>
        <v>Kalkung</v>
      </c>
      <c r="F31" s="13">
        <v>0.0</v>
      </c>
      <c r="G31" s="40">
        <v>0.0</v>
      </c>
      <c r="H31" s="40">
        <v>0.0</v>
      </c>
      <c r="I31" s="212">
        <f>Plan_GuV!F28</f>
        <v>0</v>
      </c>
      <c r="J31" s="40">
        <v>0.0</v>
      </c>
      <c r="K31" s="210">
        <f t="shared" si="17"/>
        <v>0</v>
      </c>
      <c r="L31" s="40">
        <v>0.0</v>
      </c>
      <c r="M31" s="40">
        <v>0.0</v>
      </c>
      <c r="N31" s="213">
        <f>Plan_GuV!I28</f>
        <v>525</v>
      </c>
      <c r="O31" s="40">
        <v>0.0</v>
      </c>
      <c r="P31" s="40">
        <v>0.0</v>
      </c>
      <c r="Q31" s="40">
        <v>0.0</v>
      </c>
      <c r="R31" s="40">
        <v>0.0</v>
      </c>
      <c r="S31" s="40">
        <v>0.0</v>
      </c>
      <c r="T31" s="40">
        <v>0.0</v>
      </c>
      <c r="U31" s="40">
        <v>0.0</v>
      </c>
      <c r="V31" s="40">
        <v>0.0</v>
      </c>
      <c r="W31" s="40">
        <v>0.0</v>
      </c>
      <c r="X31" s="210">
        <f t="shared" si="21"/>
        <v>525</v>
      </c>
      <c r="Y31" s="40">
        <f>Plan_GuV!N28</f>
        <v>0</v>
      </c>
      <c r="Z31" s="40">
        <f>Plan_GuV!O28</f>
        <v>0</v>
      </c>
      <c r="AA31" s="40">
        <f>Plan_GuV!P28</f>
        <v>0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ht="15.75" customHeight="1">
      <c r="A32" s="12"/>
      <c r="B32" s="12"/>
      <c r="C32" s="12"/>
      <c r="D32" s="12"/>
      <c r="E32" s="13" t="str">
        <f>'Betriebsgrößenanalyse'!A56</f>
        <v>Aussaat Gründüngung</v>
      </c>
      <c r="F32" s="13"/>
      <c r="G32" s="40"/>
      <c r="H32" s="40">
        <v>730.8</v>
      </c>
      <c r="I32" s="212"/>
      <c r="J32" s="40">
        <v>0.0</v>
      </c>
      <c r="K32" s="210">
        <f t="shared" si="17"/>
        <v>730.8</v>
      </c>
      <c r="L32" s="40">
        <v>0.0</v>
      </c>
      <c r="M32" s="40">
        <v>0.0</v>
      </c>
      <c r="N32" s="213">
        <f>Plan_GuV!I29</f>
        <v>0</v>
      </c>
      <c r="O32" s="40">
        <v>0.0</v>
      </c>
      <c r="P32" s="40">
        <v>0.0</v>
      </c>
      <c r="Q32" s="40">
        <v>0.0</v>
      </c>
      <c r="R32" s="40">
        <v>0.0</v>
      </c>
      <c r="S32" s="40">
        <v>0.0</v>
      </c>
      <c r="T32" s="40">
        <v>0.0</v>
      </c>
      <c r="U32" s="40">
        <v>0.0</v>
      </c>
      <c r="V32" s="40">
        <v>0.0</v>
      </c>
      <c r="W32" s="40">
        <v>0.0</v>
      </c>
      <c r="X32" s="210">
        <f t="shared" si="21"/>
        <v>0</v>
      </c>
      <c r="Y32" s="40">
        <f>Plan_GuV!N29</f>
        <v>262.5</v>
      </c>
      <c r="Z32" s="40">
        <f>Plan_GuV!O29</f>
        <v>262.5</v>
      </c>
      <c r="AA32" s="40">
        <f>Plan_GuV!P29</f>
        <v>262.5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ht="15.75" customHeight="1">
      <c r="A33" s="12"/>
      <c r="B33" s="12"/>
      <c r="C33" s="12"/>
      <c r="D33" s="12"/>
      <c r="E33" s="214" t="str">
        <f>'Betriebsgrößenanalyse'!A57</f>
        <v/>
      </c>
      <c r="F33" s="214"/>
      <c r="G33" s="40"/>
      <c r="H33" s="40"/>
      <c r="I33" s="212"/>
      <c r="J33" s="40"/>
      <c r="K33" s="210">
        <f t="shared" si="17"/>
        <v>0</v>
      </c>
      <c r="L33" s="40"/>
      <c r="M33" s="40"/>
      <c r="N33" s="213"/>
      <c r="O33" s="40"/>
      <c r="P33" s="40"/>
      <c r="Q33" s="40"/>
      <c r="R33" s="40"/>
      <c r="S33" s="40"/>
      <c r="T33" s="40"/>
      <c r="U33" s="40"/>
      <c r="V33" s="40"/>
      <c r="W33" s="40"/>
      <c r="X33" s="210"/>
      <c r="Y33" s="40"/>
      <c r="Z33" s="40"/>
      <c r="AA33" s="40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ht="15.75" customHeight="1">
      <c r="A34" s="12"/>
      <c r="B34" s="12"/>
      <c r="C34" s="12"/>
      <c r="D34" s="12"/>
      <c r="E34" s="214" t="str">
        <f>'Betriebsgrößenanalyse'!A58</f>
        <v>Reparatur und Instandhaltung von Maschinen und Geräten [%/Technische Anlagen und Maschinen</v>
      </c>
      <c r="F34" s="214">
        <v>0.0</v>
      </c>
      <c r="G34" s="40">
        <v>0.0</v>
      </c>
      <c r="H34" s="40">
        <v>0.0</v>
      </c>
      <c r="I34" s="212">
        <v>0.0</v>
      </c>
      <c r="J34" s="40">
        <v>0.0</v>
      </c>
      <c r="K34" s="210">
        <f t="shared" si="17"/>
        <v>0</v>
      </c>
      <c r="L34" s="40">
        <v>0.0</v>
      </c>
      <c r="M34" s="40">
        <v>0.0</v>
      </c>
      <c r="N34" s="213">
        <v>0.0</v>
      </c>
      <c r="O34" s="40">
        <v>0.0</v>
      </c>
      <c r="P34" s="40">
        <f>Plan_GuV!M31</f>
        <v>0</v>
      </c>
      <c r="Q34" s="40">
        <v>0.0</v>
      </c>
      <c r="R34" s="40">
        <v>0.0</v>
      </c>
      <c r="S34" s="40">
        <v>0.0</v>
      </c>
      <c r="T34" s="40">
        <v>0.0</v>
      </c>
      <c r="U34" s="40">
        <v>0.0</v>
      </c>
      <c r="V34" s="40">
        <v>0.0</v>
      </c>
      <c r="W34" s="40">
        <v>0.0</v>
      </c>
      <c r="X34" s="210">
        <f t="shared" ref="X34:X39" si="22">SUM(L34:W34)</f>
        <v>0</v>
      </c>
      <c r="Y34" s="40">
        <f>Plan_GuV!N31</f>
        <v>0</v>
      </c>
      <c r="Z34" s="40">
        <f>Plan_GuV!O31</f>
        <v>0</v>
      </c>
      <c r="AA34" s="40">
        <f>Plan_GuV!P31</f>
        <v>0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ht="15.75" customHeight="1">
      <c r="A35" s="12"/>
      <c r="B35" s="12"/>
      <c r="C35" s="12"/>
      <c r="D35" s="12"/>
      <c r="E35" s="214" t="str">
        <f>'Betriebsgrößenanalyse'!A59</f>
        <v>Bewässerung</v>
      </c>
      <c r="F35" s="214">
        <v>0.0</v>
      </c>
      <c r="G35" s="40">
        <v>0.0</v>
      </c>
      <c r="H35" s="40">
        <v>0.0</v>
      </c>
      <c r="I35" s="212">
        <v>0.0</v>
      </c>
      <c r="J35" s="40">
        <v>0.0</v>
      </c>
      <c r="K35" s="210">
        <f t="shared" si="17"/>
        <v>0</v>
      </c>
      <c r="L35" s="40">
        <v>0.0</v>
      </c>
      <c r="M35" s="40">
        <v>0.0</v>
      </c>
      <c r="N35" s="213">
        <f>Plan_GuV!I32</f>
        <v>130.41</v>
      </c>
      <c r="O35" s="40">
        <f>Plan_GuV!$J32/3</f>
        <v>130.41</v>
      </c>
      <c r="P35" s="40">
        <f>Plan_GuV!$J32/3</f>
        <v>130.41</v>
      </c>
      <c r="Q35" s="40">
        <f>Plan_GuV!$J32/3</f>
        <v>130.41</v>
      </c>
      <c r="R35" s="40">
        <f>Plan_GuV!$K32/3</f>
        <v>173.88</v>
      </c>
      <c r="S35" s="40">
        <f>Plan_GuV!$K32/3</f>
        <v>173.88</v>
      </c>
      <c r="T35" s="40">
        <f>Plan_GuV!$K32/3</f>
        <v>173.88</v>
      </c>
      <c r="U35" s="40">
        <f>Plan_GuV!$L32/3</f>
        <v>86.94</v>
      </c>
      <c r="V35" s="40">
        <f>Plan_GuV!$L32/3</f>
        <v>86.94</v>
      </c>
      <c r="W35" s="40">
        <f>Plan_GuV!$L32/3</f>
        <v>86.94</v>
      </c>
      <c r="X35" s="210">
        <f t="shared" si="22"/>
        <v>1304.1</v>
      </c>
      <c r="Y35" s="40">
        <f>Plan_GuV!N32</f>
        <v>1304.1</v>
      </c>
      <c r="Z35" s="40">
        <f>Plan_GuV!O32</f>
        <v>1304.1</v>
      </c>
      <c r="AA35" s="40">
        <f>Plan_GuV!P32</f>
        <v>1304.1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ht="15.75" customHeight="1">
      <c r="A36" s="12"/>
      <c r="B36" s="12"/>
      <c r="C36" s="12"/>
      <c r="D36" s="12"/>
      <c r="E36" s="214" t="str">
        <f>'Betriebsgrößenanalyse'!A60</f>
        <v>Treibstoff Traktor (Diesel) [EUR/Jahr]</v>
      </c>
      <c r="F36" s="214">
        <v>0.0</v>
      </c>
      <c r="G36" s="40">
        <v>0.0</v>
      </c>
      <c r="H36" s="40">
        <v>0.0</v>
      </c>
      <c r="I36" s="212">
        <v>0.0</v>
      </c>
      <c r="J36" s="40">
        <v>0.0</v>
      </c>
      <c r="K36" s="210">
        <f t="shared" si="17"/>
        <v>0</v>
      </c>
      <c r="L36" s="40">
        <v>70.0</v>
      </c>
      <c r="M36" s="40">
        <f>Plan_GuV!$I33/3</f>
        <v>56.25</v>
      </c>
      <c r="N36" s="213">
        <f>Plan_GuV!$I33/3</f>
        <v>56.25</v>
      </c>
      <c r="O36" s="40">
        <f>Plan_GuV!$J33/3</f>
        <v>56.25</v>
      </c>
      <c r="P36" s="40">
        <f>Plan_GuV!$J33/3</f>
        <v>56.25</v>
      </c>
      <c r="Q36" s="40">
        <f>Plan_GuV!$J33/3</f>
        <v>56.25</v>
      </c>
      <c r="R36" s="40">
        <f>Plan_GuV!$K33/3</f>
        <v>56.25</v>
      </c>
      <c r="S36" s="40">
        <f>Plan_GuV!$K33/3</f>
        <v>56.25</v>
      </c>
      <c r="T36" s="40">
        <f>Plan_GuV!$K33/3</f>
        <v>56.25</v>
      </c>
      <c r="U36" s="40">
        <f>Plan_GuV!$L33/3</f>
        <v>56.25</v>
      </c>
      <c r="V36" s="40">
        <f>Plan_GuV!$L33/3</f>
        <v>56.25</v>
      </c>
      <c r="W36" s="40">
        <f>Plan_GuV!$L33/3</f>
        <v>56.25</v>
      </c>
      <c r="X36" s="210">
        <f t="shared" si="22"/>
        <v>688.75</v>
      </c>
      <c r="Y36" s="40">
        <f>Plan_GuV!N33</f>
        <v>675</v>
      </c>
      <c r="Z36" s="40">
        <f>Plan_GuV!O33</f>
        <v>675</v>
      </c>
      <c r="AA36" s="40">
        <f>Plan_GuV!P33</f>
        <v>675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ht="15.75" customHeight="1">
      <c r="A37" s="12"/>
      <c r="B37" s="12"/>
      <c r="C37" s="12"/>
      <c r="D37" s="12"/>
      <c r="E37" s="214" t="str">
        <f>'Betriebsgrößenanalyse'!A61</f>
        <v>Treibstoff Transporter (Diesel) [EUR/Jahr]</v>
      </c>
      <c r="F37" s="214">
        <v>0.0</v>
      </c>
      <c r="G37" s="40">
        <v>0.0</v>
      </c>
      <c r="H37" s="40">
        <v>0.0</v>
      </c>
      <c r="I37" s="212">
        <v>0.0</v>
      </c>
      <c r="J37" s="40">
        <v>0.0</v>
      </c>
      <c r="K37" s="210">
        <f t="shared" si="17"/>
        <v>0</v>
      </c>
      <c r="L37" s="40">
        <v>0.0</v>
      </c>
      <c r="M37" s="40">
        <f>Plan_GuV!$I34/2</f>
        <v>178.75</v>
      </c>
      <c r="N37" s="213">
        <f>Plan_GuV!$I34/2</f>
        <v>178.75</v>
      </c>
      <c r="O37" s="40">
        <f>Plan_GuV!$J34/6*2</f>
        <v>278.0555556</v>
      </c>
      <c r="P37" s="40">
        <f>Plan_GuV!$J34/6*2</f>
        <v>278.0555556</v>
      </c>
      <c r="Q37" s="40">
        <f>Plan_GuV!$J34/6*2</f>
        <v>278.0555556</v>
      </c>
      <c r="R37" s="40">
        <f>Plan_GuV!$K34/3</f>
        <v>278.0555556</v>
      </c>
      <c r="S37" s="40">
        <f>Plan_GuV!$K34/3</f>
        <v>278.0555556</v>
      </c>
      <c r="T37" s="40">
        <f>Plan_GuV!$K34/3</f>
        <v>278.0555556</v>
      </c>
      <c r="U37" s="40">
        <f>Plan_GuV!$L34/3</f>
        <v>278.0555556</v>
      </c>
      <c r="V37" s="40">
        <f>Plan_GuV!$L34/3</f>
        <v>278.0555556</v>
      </c>
      <c r="W37" s="40">
        <f>Plan_GuV!$L34/3</f>
        <v>278.0555556</v>
      </c>
      <c r="X37" s="210">
        <f t="shared" si="22"/>
        <v>2860</v>
      </c>
      <c r="Y37" s="40">
        <f>Plan_GuV!N34</f>
        <v>2860</v>
      </c>
      <c r="Z37" s="40">
        <f>Plan_GuV!O34</f>
        <v>2860</v>
      </c>
      <c r="AA37" s="40">
        <f>Plan_GuV!P34</f>
        <v>2860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ht="15.75" customHeight="1">
      <c r="A38" s="12"/>
      <c r="B38" s="12"/>
      <c r="C38" s="12"/>
      <c r="D38" s="12"/>
      <c r="E38" s="214" t="str">
        <f>'Betriebsgrößenanalyse'!A62</f>
        <v>Strom für Kühlung [EUR/Jahr]</v>
      </c>
      <c r="F38" s="214">
        <v>0.0</v>
      </c>
      <c r="G38" s="40">
        <v>0.0</v>
      </c>
      <c r="H38" s="40">
        <v>0.0</v>
      </c>
      <c r="I38" s="212">
        <v>0.0</v>
      </c>
      <c r="J38" s="40">
        <v>0.0</v>
      </c>
      <c r="K38" s="210">
        <f t="shared" si="17"/>
        <v>0</v>
      </c>
      <c r="L38" s="40">
        <f>Plan_GuV!$I35/3</f>
        <v>0</v>
      </c>
      <c r="M38" s="40">
        <f>Plan_GuV!$I35/3</f>
        <v>0</v>
      </c>
      <c r="N38" s="213">
        <f>Plan_GuV!$I35/3</f>
        <v>0</v>
      </c>
      <c r="O38" s="40">
        <f>Plan_GuV!$J35/3</f>
        <v>58.33333333</v>
      </c>
      <c r="P38" s="40">
        <f>Plan_GuV!$J35/3</f>
        <v>58.33333333</v>
      </c>
      <c r="Q38" s="40">
        <f>Plan_GuV!$J35/3</f>
        <v>58.33333333</v>
      </c>
      <c r="R38" s="40">
        <f>Plan_GuV!$K35/3</f>
        <v>175</v>
      </c>
      <c r="S38" s="40">
        <f>Plan_GuV!$K35/3</f>
        <v>175</v>
      </c>
      <c r="T38" s="40">
        <f>Plan_GuV!$K35/3</f>
        <v>175</v>
      </c>
      <c r="U38" s="40">
        <f>Plan_GuV!$L35/3</f>
        <v>175</v>
      </c>
      <c r="V38" s="40">
        <f>Plan_GuV!$L35/3</f>
        <v>175</v>
      </c>
      <c r="W38" s="40">
        <f>Plan_GuV!$L35/3</f>
        <v>175</v>
      </c>
      <c r="X38" s="210">
        <f t="shared" si="22"/>
        <v>1225</v>
      </c>
      <c r="Y38" s="40">
        <f>Plan_GuV!N35</f>
        <v>2100</v>
      </c>
      <c r="Z38" s="40">
        <f>Plan_GuV!O35</f>
        <v>2100</v>
      </c>
      <c r="AA38" s="40">
        <f>Plan_GuV!P35</f>
        <v>2100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ht="15.75" customHeight="1">
      <c r="A39" s="12"/>
      <c r="B39" s="12"/>
      <c r="C39" s="12"/>
      <c r="D39" s="12"/>
      <c r="E39" s="214" t="str">
        <f>'Betriebsgrößenanalyse'!A63</f>
        <v>Schmierstoffe</v>
      </c>
      <c r="F39" s="214">
        <v>0.0</v>
      </c>
      <c r="G39" s="40">
        <v>0.0</v>
      </c>
      <c r="H39" s="40">
        <v>0.0</v>
      </c>
      <c r="I39" s="212">
        <v>0.0</v>
      </c>
      <c r="J39" s="40">
        <v>0.0</v>
      </c>
      <c r="K39" s="210">
        <f t="shared" si="17"/>
        <v>0</v>
      </c>
      <c r="L39" s="40">
        <v>0.0</v>
      </c>
      <c r="M39" s="40">
        <v>0.0</v>
      </c>
      <c r="N39" s="213">
        <f>Plan_GuV!I36</f>
        <v>150</v>
      </c>
      <c r="O39" s="40">
        <v>0.0</v>
      </c>
      <c r="P39" s="40">
        <v>0.0</v>
      </c>
      <c r="Q39" s="40">
        <v>0.0</v>
      </c>
      <c r="R39" s="40">
        <v>0.0</v>
      </c>
      <c r="S39" s="40">
        <v>0.0</v>
      </c>
      <c r="T39" s="40">
        <v>0.0</v>
      </c>
      <c r="U39" s="40">
        <v>0.0</v>
      </c>
      <c r="V39" s="40">
        <v>0.0</v>
      </c>
      <c r="W39" s="40">
        <v>0.0</v>
      </c>
      <c r="X39" s="210">
        <f t="shared" si="22"/>
        <v>150</v>
      </c>
      <c r="Y39" s="40">
        <f>Plan_GuV!N36</f>
        <v>150</v>
      </c>
      <c r="Z39" s="40">
        <f>Plan_GuV!O36</f>
        <v>150</v>
      </c>
      <c r="AA39" s="40">
        <f>Plan_GuV!P36</f>
        <v>150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ht="15.75" customHeight="1">
      <c r="A40" s="12"/>
      <c r="B40" s="12"/>
      <c r="C40" s="12"/>
      <c r="D40" s="12"/>
      <c r="E40" s="13"/>
      <c r="F40" s="13"/>
      <c r="G40" s="40"/>
      <c r="H40" s="40"/>
      <c r="I40" s="212"/>
      <c r="J40" s="40"/>
      <c r="K40" s="210"/>
      <c r="L40" s="40"/>
      <c r="M40" s="40"/>
      <c r="N40" s="213"/>
      <c r="O40" s="40"/>
      <c r="P40" s="40"/>
      <c r="Q40" s="40"/>
      <c r="R40" s="40"/>
      <c r="S40" s="40"/>
      <c r="T40" s="40"/>
      <c r="U40" s="40"/>
      <c r="V40" s="40"/>
      <c r="W40" s="40"/>
      <c r="X40" s="210"/>
      <c r="Y40" s="40"/>
      <c r="Z40" s="40"/>
      <c r="AA40" s="40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ht="15.75" customHeight="1">
      <c r="A41" s="12"/>
      <c r="B41" s="12"/>
      <c r="C41" s="12"/>
      <c r="D41" s="1" t="s">
        <v>202</v>
      </c>
      <c r="E41" s="13"/>
      <c r="F41" s="13">
        <f t="shared" ref="F41:AA41" si="23">SUM(F42:F43)</f>
        <v>0</v>
      </c>
      <c r="G41" s="40">
        <f t="shared" si="23"/>
        <v>0</v>
      </c>
      <c r="H41" s="40">
        <f t="shared" si="23"/>
        <v>1570</v>
      </c>
      <c r="I41" s="212">
        <f t="shared" si="23"/>
        <v>2940</v>
      </c>
      <c r="J41" s="218">
        <f t="shared" si="23"/>
        <v>3200</v>
      </c>
      <c r="K41" s="210">
        <f t="shared" si="23"/>
        <v>7710</v>
      </c>
      <c r="L41" s="40">
        <f t="shared" si="23"/>
        <v>3200</v>
      </c>
      <c r="M41" s="40">
        <f t="shared" si="23"/>
        <v>3200</v>
      </c>
      <c r="N41" s="213">
        <f t="shared" si="23"/>
        <v>4000</v>
      </c>
      <c r="O41" s="40">
        <f t="shared" si="23"/>
        <v>4000</v>
      </c>
      <c r="P41" s="40">
        <f t="shared" si="23"/>
        <v>4000</v>
      </c>
      <c r="Q41" s="40">
        <f t="shared" si="23"/>
        <v>4000</v>
      </c>
      <c r="R41" s="40">
        <f t="shared" si="23"/>
        <v>4000</v>
      </c>
      <c r="S41" s="40">
        <f t="shared" si="23"/>
        <v>4350</v>
      </c>
      <c r="T41" s="40">
        <f t="shared" si="23"/>
        <v>4000</v>
      </c>
      <c r="U41" s="40">
        <f t="shared" si="23"/>
        <v>4000</v>
      </c>
      <c r="V41" s="40">
        <f t="shared" si="23"/>
        <v>4000</v>
      </c>
      <c r="W41" s="40">
        <f t="shared" si="23"/>
        <v>4000</v>
      </c>
      <c r="X41" s="210">
        <f t="shared" si="23"/>
        <v>46750</v>
      </c>
      <c r="Y41" s="40">
        <f t="shared" si="23"/>
        <v>70104.88081</v>
      </c>
      <c r="Z41" s="40">
        <f t="shared" si="23"/>
        <v>70104.88081</v>
      </c>
      <c r="AA41" s="40">
        <f t="shared" si="23"/>
        <v>70104.88081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ht="15.75" customHeight="1">
      <c r="A42" s="12"/>
      <c r="B42" s="12"/>
      <c r="C42" s="12"/>
      <c r="D42" s="12"/>
      <c r="E42" s="214" t="str">
        <f>Plan_GuV!C38</f>
        <v>Gehälter inkl. AG-SV-Beiträge und Umlagen</v>
      </c>
      <c r="F42" s="214">
        <v>0.0</v>
      </c>
      <c r="G42" s="40">
        <v>0.0</v>
      </c>
      <c r="H42" s="40">
        <v>1570.0</v>
      </c>
      <c r="I42" s="212">
        <v>2940.0</v>
      </c>
      <c r="J42" s="40">
        <v>3200.0</v>
      </c>
      <c r="K42" s="210">
        <f t="shared" ref="K42:K91" si="24">SUM(F42:J42)</f>
        <v>7710</v>
      </c>
      <c r="L42" s="40">
        <v>3200.0</v>
      </c>
      <c r="M42" s="40">
        <v>3200.0</v>
      </c>
      <c r="N42" s="213">
        <v>4000.0</v>
      </c>
      <c r="O42" s="213">
        <v>4000.0</v>
      </c>
      <c r="P42" s="213">
        <v>4000.0</v>
      </c>
      <c r="Q42" s="213">
        <v>4000.0</v>
      </c>
      <c r="R42" s="213">
        <v>4000.0</v>
      </c>
      <c r="S42" s="213">
        <v>4000.0</v>
      </c>
      <c r="T42" s="213">
        <v>4000.0</v>
      </c>
      <c r="U42" s="213">
        <v>4000.0</v>
      </c>
      <c r="V42" s="213">
        <v>4000.0</v>
      </c>
      <c r="W42" s="213">
        <v>4000.0</v>
      </c>
      <c r="X42" s="210">
        <f t="shared" ref="X42:X43" si="25">SUM(L42:W42)</f>
        <v>46400</v>
      </c>
      <c r="Y42" s="40">
        <f>Plan_GuV!N38</f>
        <v>69754.88081</v>
      </c>
      <c r="Z42" s="40">
        <f>Plan_GuV!O38</f>
        <v>69754.88081</v>
      </c>
      <c r="AA42" s="40">
        <f>Plan_GuV!P38</f>
        <v>69754.88081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ht="15.75" customHeight="1">
      <c r="A43" s="12"/>
      <c r="B43" s="12"/>
      <c r="C43" s="12"/>
      <c r="D43" s="12"/>
      <c r="E43" s="214" t="str">
        <f>Plan_GuV!C39</f>
        <v>Berufsgenossenschaft</v>
      </c>
      <c r="F43" s="214">
        <v>0.0</v>
      </c>
      <c r="G43" s="40">
        <v>0.0</v>
      </c>
      <c r="H43" s="40">
        <v>0.0</v>
      </c>
      <c r="I43" s="212">
        <v>0.0</v>
      </c>
      <c r="J43" s="40">
        <v>0.0</v>
      </c>
      <c r="K43" s="210">
        <f t="shared" si="24"/>
        <v>0</v>
      </c>
      <c r="L43" s="40">
        <v>0.0</v>
      </c>
      <c r="M43" s="40">
        <v>0.0</v>
      </c>
      <c r="N43" s="213">
        <v>0.0</v>
      </c>
      <c r="O43" s="40">
        <v>0.0</v>
      </c>
      <c r="P43" s="40">
        <v>0.0</v>
      </c>
      <c r="Q43" s="40">
        <v>0.0</v>
      </c>
      <c r="R43" s="40">
        <v>0.0</v>
      </c>
      <c r="S43" s="40">
        <f>'Betriebsgrößenanalyse'!G71</f>
        <v>350</v>
      </c>
      <c r="T43" s="40">
        <v>0.0</v>
      </c>
      <c r="U43" s="40">
        <v>0.0</v>
      </c>
      <c r="V43" s="40">
        <v>0.0</v>
      </c>
      <c r="W43" s="40">
        <v>0.0</v>
      </c>
      <c r="X43" s="210">
        <f t="shared" si="25"/>
        <v>350</v>
      </c>
      <c r="Y43" s="40">
        <f>Plan_GuV!N39</f>
        <v>350</v>
      </c>
      <c r="Z43" s="40">
        <f>Plan_GuV!O39</f>
        <v>350</v>
      </c>
      <c r="AA43" s="40">
        <f>Plan_GuV!P39</f>
        <v>350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ht="15.75" customHeight="1">
      <c r="A44" s="12"/>
      <c r="B44" s="12"/>
      <c r="C44" s="12"/>
      <c r="D44" s="12"/>
      <c r="E44" s="13"/>
      <c r="F44" s="13"/>
      <c r="G44" s="40"/>
      <c r="H44" s="40"/>
      <c r="I44" s="212"/>
      <c r="J44" s="40"/>
      <c r="K44" s="210">
        <f t="shared" si="24"/>
        <v>0</v>
      </c>
      <c r="L44" s="40"/>
      <c r="M44" s="40"/>
      <c r="N44" s="213"/>
      <c r="O44" s="40"/>
      <c r="P44" s="40"/>
      <c r="Q44" s="40"/>
      <c r="R44" s="40"/>
      <c r="S44" s="40"/>
      <c r="T44" s="40"/>
      <c r="U44" s="40"/>
      <c r="V44" s="40"/>
      <c r="W44" s="40"/>
      <c r="X44" s="210"/>
      <c r="Y44" s="40"/>
      <c r="Z44" s="40"/>
      <c r="AA44" s="40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ht="15.75" customHeight="1">
      <c r="A45" s="12"/>
      <c r="B45" s="12"/>
      <c r="C45" s="12"/>
      <c r="D45" s="1" t="s">
        <v>516</v>
      </c>
      <c r="E45" s="13"/>
      <c r="F45" s="40">
        <f t="shared" ref="F45:J45" si="26">SUM(F46:F57,F59:F69,F71:F74)</f>
        <v>2391</v>
      </c>
      <c r="G45" s="40">
        <f t="shared" si="26"/>
        <v>1130.44</v>
      </c>
      <c r="H45" s="40">
        <f t="shared" si="26"/>
        <v>2256</v>
      </c>
      <c r="I45" s="212">
        <f t="shared" si="26"/>
        <v>416</v>
      </c>
      <c r="J45" s="40">
        <f t="shared" si="26"/>
        <v>1310</v>
      </c>
      <c r="K45" s="210">
        <f t="shared" si="24"/>
        <v>7503.44</v>
      </c>
      <c r="L45" s="40">
        <f t="shared" ref="L45:AA45" si="27">SUM(L46:L57,L59:L69,L71:L74)</f>
        <v>1157.404509</v>
      </c>
      <c r="M45" s="40">
        <f t="shared" si="27"/>
        <v>1210.404509</v>
      </c>
      <c r="N45" s="213">
        <f t="shared" si="27"/>
        <v>1087.404509</v>
      </c>
      <c r="O45" s="40">
        <f t="shared" si="27"/>
        <v>1656.441324</v>
      </c>
      <c r="P45" s="40">
        <f t="shared" si="27"/>
        <v>1151.717009</v>
      </c>
      <c r="Q45" s="40">
        <f t="shared" si="27"/>
        <v>1458.974509</v>
      </c>
      <c r="R45" s="40">
        <f t="shared" si="27"/>
        <v>1907.641324</v>
      </c>
      <c r="S45" s="40">
        <f t="shared" si="27"/>
        <v>1087.404509</v>
      </c>
      <c r="T45" s="40">
        <f t="shared" si="27"/>
        <v>1087.404509</v>
      </c>
      <c r="U45" s="40">
        <f t="shared" si="27"/>
        <v>1487.641324</v>
      </c>
      <c r="V45" s="40">
        <f t="shared" si="27"/>
        <v>1087.404509</v>
      </c>
      <c r="W45" s="40">
        <f t="shared" si="27"/>
        <v>1087.404509</v>
      </c>
      <c r="X45" s="215">
        <f t="shared" si="27"/>
        <v>15467.24705</v>
      </c>
      <c r="Y45" s="40">
        <f t="shared" si="27"/>
        <v>16387.55519</v>
      </c>
      <c r="Z45" s="40">
        <f t="shared" si="27"/>
        <v>16387.55519</v>
      </c>
      <c r="AA45" s="40">
        <f t="shared" si="27"/>
        <v>16387.55519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ht="15.75" customHeight="1">
      <c r="A46" s="12"/>
      <c r="B46" s="12"/>
      <c r="C46" s="12"/>
      <c r="D46" s="12"/>
      <c r="E46" s="214" t="str">
        <f>'Betriebsgrößenanalyse'!A75</f>
        <v>Pachtzinsen</v>
      </c>
      <c r="F46" s="214">
        <v>0.0</v>
      </c>
      <c r="G46" s="40">
        <v>0.0</v>
      </c>
      <c r="H46" s="40">
        <v>0.0</v>
      </c>
      <c r="I46" s="212">
        <v>0.0</v>
      </c>
      <c r="J46" s="40">
        <v>0.0</v>
      </c>
      <c r="K46" s="210">
        <f t="shared" si="24"/>
        <v>0</v>
      </c>
      <c r="L46" s="40">
        <v>420.0</v>
      </c>
      <c r="M46" s="40">
        <v>0.0</v>
      </c>
      <c r="N46" s="213">
        <v>0.0</v>
      </c>
      <c r="O46" s="40">
        <v>0.0</v>
      </c>
      <c r="P46" s="40">
        <v>0.0</v>
      </c>
      <c r="Q46" s="40">
        <v>0.0</v>
      </c>
      <c r="R46" s="40">
        <v>420.0</v>
      </c>
      <c r="S46" s="40">
        <v>0.0</v>
      </c>
      <c r="T46" s="40">
        <v>0.0</v>
      </c>
      <c r="U46" s="40">
        <v>0.0</v>
      </c>
      <c r="V46" s="40">
        <v>0.0</v>
      </c>
      <c r="W46" s="40">
        <v>0.0</v>
      </c>
      <c r="X46" s="210">
        <f t="shared" ref="X46:X57" si="28">SUM(L46:W46)</f>
        <v>840</v>
      </c>
      <c r="Y46" s="40">
        <f>Plan_GuV!N42</f>
        <v>840</v>
      </c>
      <c r="Z46" s="40">
        <f>Plan_GuV!O42</f>
        <v>840</v>
      </c>
      <c r="AA46" s="40">
        <f>Plan_GuV!P42</f>
        <v>840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ht="15.75" customHeight="1">
      <c r="A47" s="12"/>
      <c r="B47" s="12"/>
      <c r="C47" s="12"/>
      <c r="D47" s="12"/>
      <c r="E47" s="214" t="str">
        <f>'Betriebsgrößenanalyse'!A76</f>
        <v>Holz, Gas, Strom, Wasser für Büro, Küche-, Umkleide- und Pausenbereich</v>
      </c>
      <c r="F47" s="214">
        <v>0.0</v>
      </c>
      <c r="G47" s="40">
        <v>0.0</v>
      </c>
      <c r="H47" s="40">
        <v>0.0</v>
      </c>
      <c r="I47" s="212">
        <v>0.0</v>
      </c>
      <c r="J47" s="40">
        <v>0.0</v>
      </c>
      <c r="K47" s="210">
        <f t="shared" si="24"/>
        <v>0</v>
      </c>
      <c r="L47" s="40">
        <v>0.0</v>
      </c>
      <c r="M47" s="40">
        <f>Plan_GuV!$I43/3</f>
        <v>0</v>
      </c>
      <c r="N47" s="213">
        <f>Plan_GuV!$I43/3</f>
        <v>0</v>
      </c>
      <c r="O47" s="40">
        <f>Plan_GuV!$J43/3</f>
        <v>0</v>
      </c>
      <c r="P47" s="40">
        <f>Plan_GuV!$J43/3</f>
        <v>0</v>
      </c>
      <c r="Q47" s="40">
        <f>Plan_GuV!$J43/3</f>
        <v>0</v>
      </c>
      <c r="R47" s="40">
        <f>Plan_GuV!$K43/3</f>
        <v>0</v>
      </c>
      <c r="S47" s="40">
        <f>Plan_GuV!$K43/3</f>
        <v>0</v>
      </c>
      <c r="T47" s="40">
        <f>Plan_GuV!$K43/3</f>
        <v>0</v>
      </c>
      <c r="U47" s="40">
        <f>Plan_GuV!$L43/3</f>
        <v>0</v>
      </c>
      <c r="V47" s="40">
        <f>Plan_GuV!$L43/3</f>
        <v>0</v>
      </c>
      <c r="W47" s="40">
        <f>Plan_GuV!$L43/3</f>
        <v>0</v>
      </c>
      <c r="X47" s="210">
        <f t="shared" si="28"/>
        <v>0</v>
      </c>
      <c r="Y47" s="40" t="str">
        <f>Plan_GuV!N43</f>
        <v/>
      </c>
      <c r="Z47" s="40" t="str">
        <f>Plan_GuV!O43</f>
        <v/>
      </c>
      <c r="AA47" s="40" t="str">
        <f>Plan_GuV!P43</f>
        <v/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ht="15.75" customHeight="1">
      <c r="A48" s="12"/>
      <c r="B48" s="12"/>
      <c r="C48" s="12"/>
      <c r="D48" s="12"/>
      <c r="E48" s="214" t="str">
        <f>'Betriebsgrößenanalyse'!A77</f>
        <v>D&amp;O-Versicherung</v>
      </c>
      <c r="F48" s="214">
        <v>0.0</v>
      </c>
      <c r="G48" s="40">
        <v>0.0</v>
      </c>
      <c r="H48" s="40">
        <v>0.0</v>
      </c>
      <c r="I48" s="212"/>
      <c r="J48" s="40">
        <v>0.0</v>
      </c>
      <c r="K48" s="210">
        <f t="shared" si="24"/>
        <v>0</v>
      </c>
      <c r="L48" s="40">
        <v>0.0</v>
      </c>
      <c r="M48" s="40">
        <v>227.0</v>
      </c>
      <c r="N48" s="213">
        <v>0.0</v>
      </c>
      <c r="O48" s="40">
        <v>0.0</v>
      </c>
      <c r="P48" s="40">
        <v>0.0</v>
      </c>
      <c r="Q48" s="40">
        <v>0.0</v>
      </c>
      <c r="R48" s="40">
        <v>0.0</v>
      </c>
      <c r="S48" s="40">
        <v>0.0</v>
      </c>
      <c r="T48" s="40">
        <v>0.0</v>
      </c>
      <c r="U48" s="40">
        <v>0.0</v>
      </c>
      <c r="V48" s="40">
        <v>0.0</v>
      </c>
      <c r="W48" s="40">
        <v>0.0</v>
      </c>
      <c r="X48" s="210">
        <f t="shared" si="28"/>
        <v>227</v>
      </c>
      <c r="Y48" s="40">
        <f>Plan_GuV!N44</f>
        <v>226.8907563</v>
      </c>
      <c r="Z48" s="40">
        <f>Plan_GuV!O44</f>
        <v>226.8907563</v>
      </c>
      <c r="AA48" s="40">
        <f>Plan_GuV!P44</f>
        <v>226.8907563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ht="15.75" customHeight="1">
      <c r="A49" s="12"/>
      <c r="B49" s="12"/>
      <c r="C49" s="12"/>
      <c r="D49" s="12"/>
      <c r="E49" s="214" t="str">
        <f>'Betriebsgrößenanalyse'!A78</f>
        <v>Versicherungskosten für Pflanzen (Hagel, Starkregen, Sturm, Frost)</v>
      </c>
      <c r="F49" s="214">
        <v>0.0</v>
      </c>
      <c r="G49" s="40">
        <v>0.0</v>
      </c>
      <c r="H49" s="40">
        <v>0.0</v>
      </c>
      <c r="I49" s="212">
        <v>0.0</v>
      </c>
      <c r="J49" s="40">
        <v>0.0</v>
      </c>
      <c r="K49" s="210">
        <f t="shared" si="24"/>
        <v>0</v>
      </c>
      <c r="L49" s="40">
        <v>0.0</v>
      </c>
      <c r="M49" s="40">
        <v>0.0</v>
      </c>
      <c r="N49" s="213">
        <v>0.0</v>
      </c>
      <c r="O49" s="40">
        <v>0.0</v>
      </c>
      <c r="P49" s="40">
        <f>Plan_GuV!M45</f>
        <v>64.3125</v>
      </c>
      <c r="Q49" s="40">
        <v>0.0</v>
      </c>
      <c r="R49" s="40">
        <v>0.0</v>
      </c>
      <c r="S49" s="40">
        <v>0.0</v>
      </c>
      <c r="T49" s="40">
        <v>0.0</v>
      </c>
      <c r="U49" s="40">
        <v>0.0</v>
      </c>
      <c r="V49" s="40">
        <v>0.0</v>
      </c>
      <c r="W49" s="40">
        <v>0.0</v>
      </c>
      <c r="X49" s="210">
        <f t="shared" si="28"/>
        <v>64.3125</v>
      </c>
      <c r="Y49" s="40">
        <f>Plan_GuV!N45</f>
        <v>64.3125</v>
      </c>
      <c r="Z49" s="40">
        <f>Plan_GuV!O45</f>
        <v>64.3125</v>
      </c>
      <c r="AA49" s="40">
        <f>Plan_GuV!P45</f>
        <v>64.3125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ht="15.75" customHeight="1">
      <c r="A50" s="12"/>
      <c r="B50" s="12"/>
      <c r="C50" s="12"/>
      <c r="D50" s="12"/>
      <c r="E50" s="214" t="str">
        <f>'Betriebsgrößenanalyse'!A79</f>
        <v>Versicherungskosten für Lagergut (Diebstahl, Vandalismus, Feuer, Sturm, Hagel)</v>
      </c>
      <c r="F50" s="214">
        <v>0.0</v>
      </c>
      <c r="G50" s="40">
        <v>0.0</v>
      </c>
      <c r="H50" s="40">
        <v>0.0</v>
      </c>
      <c r="I50" s="212">
        <v>0.0</v>
      </c>
      <c r="J50" s="40">
        <v>0.0</v>
      </c>
      <c r="K50" s="210">
        <f t="shared" si="24"/>
        <v>0</v>
      </c>
      <c r="L50" s="40">
        <v>0.0</v>
      </c>
      <c r="M50" s="40">
        <v>0.0</v>
      </c>
      <c r="N50" s="213">
        <v>0.0</v>
      </c>
      <c r="O50" s="40">
        <v>0.0</v>
      </c>
      <c r="P50" s="40">
        <v>0.0</v>
      </c>
      <c r="Q50" s="40">
        <f>Plan_GuV!M46</f>
        <v>371.57</v>
      </c>
      <c r="R50" s="40">
        <v>0.0</v>
      </c>
      <c r="S50" s="40">
        <v>0.0</v>
      </c>
      <c r="T50" s="40">
        <v>0.0</v>
      </c>
      <c r="U50" s="40">
        <v>0.0</v>
      </c>
      <c r="V50" s="40">
        <v>0.0</v>
      </c>
      <c r="W50" s="40">
        <v>0.0</v>
      </c>
      <c r="X50" s="210">
        <f t="shared" si="28"/>
        <v>371.57</v>
      </c>
      <c r="Y50" s="40">
        <f>Plan_GuV!N46</f>
        <v>371.57</v>
      </c>
      <c r="Z50" s="40">
        <f>Plan_GuV!O46</f>
        <v>371.57</v>
      </c>
      <c r="AA50" s="40">
        <f>Plan_GuV!P46</f>
        <v>371.57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ht="15.75" customHeight="1">
      <c r="A51" s="12"/>
      <c r="B51" s="12"/>
      <c r="C51" s="12"/>
      <c r="D51" s="12"/>
      <c r="E51" s="214" t="str">
        <f>'Betriebsgrößenanalyse'!A80</f>
        <v>Versicherungskosten für Maschinen und andere Anlagen und BGA (Feuer)</v>
      </c>
      <c r="F51" s="214">
        <v>0.0</v>
      </c>
      <c r="G51" s="40">
        <v>0.0</v>
      </c>
      <c r="H51" s="40">
        <v>0.0</v>
      </c>
      <c r="I51" s="212">
        <v>0.0</v>
      </c>
      <c r="J51" s="40">
        <v>0.0</v>
      </c>
      <c r="K51" s="210">
        <f t="shared" si="24"/>
        <v>0</v>
      </c>
      <c r="L51" s="40">
        <v>0.0</v>
      </c>
      <c r="M51" s="40">
        <v>0.0</v>
      </c>
      <c r="N51" s="213">
        <v>0.0</v>
      </c>
      <c r="O51" s="40">
        <f>Plan_GuV!M47</f>
        <v>168.8</v>
      </c>
      <c r="P51" s="40">
        <v>0.0</v>
      </c>
      <c r="Q51" s="40">
        <v>0.0</v>
      </c>
      <c r="R51" s="40">
        <v>0.0</v>
      </c>
      <c r="S51" s="40">
        <v>0.0</v>
      </c>
      <c r="T51" s="40">
        <v>0.0</v>
      </c>
      <c r="U51" s="40">
        <v>0.0</v>
      </c>
      <c r="V51" s="40">
        <v>0.0</v>
      </c>
      <c r="W51" s="40">
        <v>0.0</v>
      </c>
      <c r="X51" s="210">
        <f t="shared" si="28"/>
        <v>168.8</v>
      </c>
      <c r="Y51" s="40">
        <f>Plan_GuV!N47</f>
        <v>168.8</v>
      </c>
      <c r="Z51" s="40">
        <f>Plan_GuV!O47</f>
        <v>168.8</v>
      </c>
      <c r="AA51" s="40">
        <f>Plan_GuV!P47</f>
        <v>168.8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ht="15.75" customHeight="1">
      <c r="A52" s="12"/>
      <c r="B52" s="12"/>
      <c r="C52" s="12"/>
      <c r="D52" s="12"/>
      <c r="E52" s="214" t="str">
        <f>'Betriebsgrößenanalyse'!A81</f>
        <v>Versicherungskosten für Gewächshäuser</v>
      </c>
      <c r="F52" s="214">
        <v>0.0</v>
      </c>
      <c r="G52" s="40">
        <v>0.0</v>
      </c>
      <c r="H52" s="40">
        <v>0.0</v>
      </c>
      <c r="I52" s="212">
        <v>0.0</v>
      </c>
      <c r="J52" s="40">
        <v>0.0</v>
      </c>
      <c r="K52" s="210">
        <f t="shared" si="24"/>
        <v>0</v>
      </c>
      <c r="L52" s="40">
        <v>0.0</v>
      </c>
      <c r="M52" s="40">
        <v>0.0</v>
      </c>
      <c r="N52" s="213">
        <v>0.0</v>
      </c>
      <c r="O52" s="40">
        <v>0.0</v>
      </c>
      <c r="P52" s="40">
        <v>0.0</v>
      </c>
      <c r="Q52" s="40">
        <v>0.0</v>
      </c>
      <c r="R52" s="40">
        <v>0.0</v>
      </c>
      <c r="S52" s="40">
        <v>0.0</v>
      </c>
      <c r="T52" s="40">
        <v>0.0</v>
      </c>
      <c r="U52" s="40">
        <v>0.0</v>
      </c>
      <c r="V52" s="40">
        <v>0.0</v>
      </c>
      <c r="W52" s="40">
        <v>0.0</v>
      </c>
      <c r="X52" s="210">
        <f t="shared" si="28"/>
        <v>0</v>
      </c>
      <c r="Y52" s="40">
        <f>Plan_GuV!N48</f>
        <v>1190</v>
      </c>
      <c r="Z52" s="40">
        <f>Plan_GuV!O48</f>
        <v>1190</v>
      </c>
      <c r="AA52" s="40">
        <f>Plan_GuV!P48</f>
        <v>1190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ht="15.75" customHeight="1">
      <c r="A53" s="12"/>
      <c r="B53" s="12"/>
      <c r="C53" s="12"/>
      <c r="D53" s="12"/>
      <c r="E53" s="214" t="str">
        <f>'Betriebsgrößenanalyse'!A82</f>
        <v>Betriebshaftpflichtversicherung</v>
      </c>
      <c r="F53" s="214">
        <v>0.0</v>
      </c>
      <c r="G53" s="40">
        <v>0.0</v>
      </c>
      <c r="H53" s="40">
        <v>0.0</v>
      </c>
      <c r="I53" s="212">
        <v>0.0</v>
      </c>
      <c r="J53" s="40">
        <v>0.0</v>
      </c>
      <c r="K53" s="210">
        <f t="shared" si="24"/>
        <v>0</v>
      </c>
      <c r="L53" s="40">
        <v>0.0</v>
      </c>
      <c r="M53" s="40">
        <v>246.0</v>
      </c>
      <c r="N53" s="213">
        <v>0.0</v>
      </c>
      <c r="O53" s="40">
        <v>0.0</v>
      </c>
      <c r="P53" s="40">
        <v>0.0</v>
      </c>
      <c r="Q53" s="40">
        <v>0.0</v>
      </c>
      <c r="R53" s="40">
        <v>0.0</v>
      </c>
      <c r="S53" s="40">
        <v>0.0</v>
      </c>
      <c r="T53" s="40">
        <v>0.0</v>
      </c>
      <c r="U53" s="40">
        <v>0.0</v>
      </c>
      <c r="V53" s="40">
        <v>0.0</v>
      </c>
      <c r="W53" s="40">
        <v>0.0</v>
      </c>
      <c r="X53" s="210">
        <f t="shared" si="28"/>
        <v>246</v>
      </c>
      <c r="Y53" s="40">
        <f>Plan_GuV!N49</f>
        <v>246.33</v>
      </c>
      <c r="Z53" s="40">
        <f>Plan_GuV!O49</f>
        <v>246.33</v>
      </c>
      <c r="AA53" s="40">
        <f>Plan_GuV!P49</f>
        <v>246.33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ht="15.75" customHeight="1">
      <c r="A54" s="12"/>
      <c r="B54" s="12"/>
      <c r="C54" s="12"/>
      <c r="D54" s="12"/>
      <c r="E54" s="214" t="str">
        <f>'Betriebsgrößenanalyse'!A83</f>
        <v>Beiträge (Landwirtschaftskammer, Naturland,..)</v>
      </c>
      <c r="F54" s="214"/>
      <c r="G54" s="40"/>
      <c r="H54" s="40">
        <v>0.0</v>
      </c>
      <c r="I54" s="212">
        <v>0.0</v>
      </c>
      <c r="J54" s="40">
        <v>0.0</v>
      </c>
      <c r="K54" s="210">
        <f t="shared" si="24"/>
        <v>0</v>
      </c>
      <c r="L54" s="40">
        <v>25.0</v>
      </c>
      <c r="M54" s="40">
        <v>25.0</v>
      </c>
      <c r="N54" s="213">
        <v>25.0</v>
      </c>
      <c r="O54" s="40">
        <v>25.0</v>
      </c>
      <c r="P54" s="40">
        <v>25.0</v>
      </c>
      <c r="Q54" s="40">
        <v>25.0</v>
      </c>
      <c r="R54" s="40">
        <v>25.0</v>
      </c>
      <c r="S54" s="40">
        <v>25.0</v>
      </c>
      <c r="T54" s="40">
        <v>25.0</v>
      </c>
      <c r="U54" s="40">
        <v>25.0</v>
      </c>
      <c r="V54" s="40">
        <v>25.0</v>
      </c>
      <c r="W54" s="40">
        <v>25.0</v>
      </c>
      <c r="X54" s="210">
        <f t="shared" si="28"/>
        <v>300</v>
      </c>
      <c r="Y54" s="40">
        <f>Plan_GuV!N50</f>
        <v>1223.25</v>
      </c>
      <c r="Z54" s="40">
        <f>Plan_GuV!O50</f>
        <v>1223.25</v>
      </c>
      <c r="AA54" s="40">
        <f>Plan_GuV!P50</f>
        <v>1223.25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ht="15.75" customHeight="1">
      <c r="A55" s="12"/>
      <c r="B55" s="12"/>
      <c r="C55" s="12"/>
      <c r="D55" s="12"/>
      <c r="E55" s="214" t="str">
        <f>'Betriebsgrößenanalyse'!A84</f>
        <v>Kfz-Versicherung</v>
      </c>
      <c r="F55" s="214">
        <v>0.0</v>
      </c>
      <c r="G55" s="40">
        <v>0.0</v>
      </c>
      <c r="H55" s="40">
        <v>0.0</v>
      </c>
      <c r="I55" s="212">
        <v>0.0</v>
      </c>
      <c r="J55" s="40">
        <v>0.0</v>
      </c>
      <c r="K55" s="210">
        <f t="shared" si="24"/>
        <v>0</v>
      </c>
      <c r="L55" s="40">
        <v>0.0</v>
      </c>
      <c r="M55" s="40">
        <v>0.0</v>
      </c>
      <c r="N55" s="213">
        <v>0.0</v>
      </c>
      <c r="O55" s="40">
        <v>0.0</v>
      </c>
      <c r="P55" s="40">
        <v>0.0</v>
      </c>
      <c r="Q55" s="40">
        <v>0.0</v>
      </c>
      <c r="R55" s="40">
        <v>0.0</v>
      </c>
      <c r="S55" s="40">
        <v>0.0</v>
      </c>
      <c r="T55" s="40">
        <v>0.0</v>
      </c>
      <c r="U55" s="40">
        <v>0.0</v>
      </c>
      <c r="V55" s="40">
        <v>0.0</v>
      </c>
      <c r="W55" s="40">
        <v>0.0</v>
      </c>
      <c r="X55" s="210">
        <f t="shared" si="28"/>
        <v>0</v>
      </c>
      <c r="Y55" s="40">
        <f>Plan_GuV!N51</f>
        <v>173.5</v>
      </c>
      <c r="Z55" s="40">
        <f>Plan_GuV!O51</f>
        <v>173.5</v>
      </c>
      <c r="AA55" s="40">
        <f>Plan_GuV!P51</f>
        <v>173.5</v>
      </c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ht="15.75" customHeight="1">
      <c r="A56" s="12"/>
      <c r="B56" s="12"/>
      <c r="C56" s="12"/>
      <c r="D56" s="12"/>
      <c r="E56" s="214" t="str">
        <f>'Betriebsgrößenanalyse'!A85</f>
        <v>Kfz-Transporter Unterhaltskosten</v>
      </c>
      <c r="F56" s="214">
        <v>0.0</v>
      </c>
      <c r="G56" s="40">
        <v>0.0</v>
      </c>
      <c r="H56" s="40">
        <v>0.0</v>
      </c>
      <c r="I56" s="212">
        <v>0.0</v>
      </c>
      <c r="J56" s="40">
        <v>0.0</v>
      </c>
      <c r="K56" s="210">
        <f t="shared" si="24"/>
        <v>0</v>
      </c>
      <c r="L56" s="40">
        <v>0.0</v>
      </c>
      <c r="M56" s="40">
        <v>0.0</v>
      </c>
      <c r="N56" s="213">
        <v>400.0</v>
      </c>
      <c r="O56" s="40">
        <v>400.0</v>
      </c>
      <c r="P56" s="40">
        <v>400.0</v>
      </c>
      <c r="Q56" s="40">
        <v>400.0</v>
      </c>
      <c r="R56" s="40">
        <v>400.0</v>
      </c>
      <c r="S56" s="40">
        <v>400.0</v>
      </c>
      <c r="T56" s="40">
        <v>400.0</v>
      </c>
      <c r="U56" s="40">
        <v>400.0</v>
      </c>
      <c r="V56" s="40">
        <v>400.0</v>
      </c>
      <c r="W56" s="40">
        <v>400.0</v>
      </c>
      <c r="X56" s="210">
        <f t="shared" si="28"/>
        <v>4000</v>
      </c>
      <c r="Y56" s="40">
        <f>Plan_GuV!N52</f>
        <v>1866.96</v>
      </c>
      <c r="Z56" s="40">
        <f>Plan_GuV!O52</f>
        <v>1866.96</v>
      </c>
      <c r="AA56" s="40">
        <f>Plan_GuV!P52</f>
        <v>1866.96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ht="15.75" hidden="1" customHeight="1">
      <c r="A57" s="12"/>
      <c r="B57" s="12"/>
      <c r="C57" s="12"/>
      <c r="D57" s="12"/>
      <c r="E57" s="214" t="str">
        <f>'Betriebsgrößenanalyse'!A86</f>
        <v>Reparatur und Instandhaltung von Heizanlagen</v>
      </c>
      <c r="F57" s="214">
        <v>0.0</v>
      </c>
      <c r="G57" s="40">
        <v>0.0</v>
      </c>
      <c r="H57" s="40">
        <v>0.0</v>
      </c>
      <c r="I57" s="212">
        <v>0.0</v>
      </c>
      <c r="J57" s="40">
        <v>0.0</v>
      </c>
      <c r="K57" s="210">
        <f t="shared" si="24"/>
        <v>0</v>
      </c>
      <c r="L57" s="40">
        <v>0.0</v>
      </c>
      <c r="M57" s="40">
        <f>Plan_GuV!M53</f>
        <v>0</v>
      </c>
      <c r="N57" s="213">
        <v>0.0</v>
      </c>
      <c r="O57" s="40">
        <v>0.0</v>
      </c>
      <c r="P57" s="40">
        <v>0.0</v>
      </c>
      <c r="Q57" s="40">
        <v>0.0</v>
      </c>
      <c r="R57" s="40">
        <v>0.0</v>
      </c>
      <c r="S57" s="40">
        <v>0.0</v>
      </c>
      <c r="T57" s="40">
        <v>0.0</v>
      </c>
      <c r="U57" s="40">
        <v>0.0</v>
      </c>
      <c r="V57" s="40">
        <v>0.0</v>
      </c>
      <c r="W57" s="40">
        <v>0.0</v>
      </c>
      <c r="X57" s="210">
        <f t="shared" si="28"/>
        <v>0</v>
      </c>
      <c r="Y57" s="40" t="str">
        <f>Plan_GuV!N53</f>
        <v/>
      </c>
      <c r="Z57" s="40" t="str">
        <f>Plan_GuV!O53</f>
        <v/>
      </c>
      <c r="AA57" s="40" t="str">
        <f>Plan_GuV!P53</f>
        <v/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ht="15.75" hidden="1" customHeight="1">
      <c r="A58" s="12"/>
      <c r="B58" s="12"/>
      <c r="C58" s="12"/>
      <c r="D58" s="12"/>
      <c r="E58" s="13"/>
      <c r="F58" s="13"/>
      <c r="G58" s="40"/>
      <c r="H58" s="40"/>
      <c r="I58" s="212"/>
      <c r="J58" s="40"/>
      <c r="K58" s="210">
        <f t="shared" si="24"/>
        <v>0</v>
      </c>
      <c r="L58" s="40"/>
      <c r="M58" s="40"/>
      <c r="N58" s="213"/>
      <c r="O58" s="40"/>
      <c r="P58" s="40"/>
      <c r="Q58" s="40"/>
      <c r="R58" s="40"/>
      <c r="S58" s="40"/>
      <c r="T58" s="40"/>
      <c r="U58" s="40"/>
      <c r="V58" s="40"/>
      <c r="W58" s="40"/>
      <c r="X58" s="210"/>
      <c r="Y58" s="40"/>
      <c r="Z58" s="40"/>
      <c r="AA58" s="40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ht="15.75" customHeight="1">
      <c r="A59" s="12"/>
      <c r="B59" s="12"/>
      <c r="C59" s="12"/>
      <c r="D59" s="12"/>
      <c r="E59" s="214" t="str">
        <f>'Betriebsgrößenanalyse'!A88</f>
        <v>Werbung</v>
      </c>
      <c r="F59" s="214"/>
      <c r="G59" s="40">
        <v>348.0</v>
      </c>
      <c r="H59" s="40">
        <f>Plan_GuV!E55</f>
        <v>0</v>
      </c>
      <c r="I59" s="212"/>
      <c r="J59" s="40">
        <f>Plan_GuV!G55</f>
        <v>0</v>
      </c>
      <c r="K59" s="210">
        <f t="shared" si="24"/>
        <v>348</v>
      </c>
      <c r="L59" s="40">
        <v>0.0</v>
      </c>
      <c r="M59" s="40">
        <v>0.0</v>
      </c>
      <c r="N59" s="213">
        <v>0.0</v>
      </c>
      <c r="O59" s="40">
        <f>Plan_GuV!M55/4</f>
        <v>218.75</v>
      </c>
      <c r="P59" s="40">
        <v>0.0</v>
      </c>
      <c r="Q59" s="40">
        <v>0.0</v>
      </c>
      <c r="R59" s="40">
        <f>Plan_GuV!M55/4</f>
        <v>218.75</v>
      </c>
      <c r="S59" s="40">
        <v>0.0</v>
      </c>
      <c r="T59" s="40">
        <v>0.0</v>
      </c>
      <c r="U59" s="40">
        <f>Plan_GuV!M55/4</f>
        <v>218.75</v>
      </c>
      <c r="V59" s="40">
        <v>0.0</v>
      </c>
      <c r="W59" s="40">
        <v>0.0</v>
      </c>
      <c r="X59" s="210">
        <f t="shared" ref="X59:X69" si="29">SUM(L59:W59)</f>
        <v>656.25</v>
      </c>
      <c r="Y59" s="40">
        <f>Plan_GuV!N55</f>
        <v>875</v>
      </c>
      <c r="Z59" s="40">
        <f>Plan_GuV!O55</f>
        <v>875</v>
      </c>
      <c r="AA59" s="40">
        <f>Plan_GuV!P55</f>
        <v>875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ht="15.75" customHeight="1">
      <c r="A60" s="12"/>
      <c r="B60" s="12"/>
      <c r="C60" s="12"/>
      <c r="D60" s="12"/>
      <c r="E60" s="214" t="str">
        <f>'Betriebsgrößenanalyse'!A89</f>
        <v>Repräsentationskosten (Druckerzeugnisse)</v>
      </c>
      <c r="F60" s="214"/>
      <c r="G60" s="40">
        <v>97.44</v>
      </c>
      <c r="H60" s="40">
        <v>2232.0</v>
      </c>
      <c r="I60" s="212">
        <v>397.0</v>
      </c>
      <c r="J60" s="40">
        <v>870.0</v>
      </c>
      <c r="K60" s="210">
        <f t="shared" si="24"/>
        <v>3596.44</v>
      </c>
      <c r="L60" s="40">
        <v>150.0</v>
      </c>
      <c r="M60" s="40">
        <v>150.0</v>
      </c>
      <c r="N60" s="213">
        <v>150.0</v>
      </c>
      <c r="O60" s="40">
        <v>150.0</v>
      </c>
      <c r="P60" s="40">
        <v>150.0</v>
      </c>
      <c r="Q60" s="40">
        <v>150.0</v>
      </c>
      <c r="R60" s="40">
        <v>150.0</v>
      </c>
      <c r="S60" s="40">
        <v>150.0</v>
      </c>
      <c r="T60" s="40">
        <v>150.0</v>
      </c>
      <c r="U60" s="40">
        <v>150.0</v>
      </c>
      <c r="V60" s="40">
        <v>150.0</v>
      </c>
      <c r="W60" s="40">
        <v>150.0</v>
      </c>
      <c r="X60" s="210">
        <f t="shared" si="29"/>
        <v>1800</v>
      </c>
      <c r="Y60" s="40">
        <f>Plan_GuV!N56</f>
        <v>290.5</v>
      </c>
      <c r="Z60" s="40">
        <f>Plan_GuV!O56</f>
        <v>290.5</v>
      </c>
      <c r="AA60" s="40">
        <f>Plan_GuV!P56</f>
        <v>290.5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ht="15.75" customHeight="1">
      <c r="A61" s="12"/>
      <c r="B61" s="12"/>
      <c r="C61" s="12"/>
      <c r="D61" s="12"/>
      <c r="E61" s="214" t="str">
        <f>'Betriebsgrößenanalyse'!A90</f>
        <v>Bürobedarf</v>
      </c>
      <c r="F61" s="214"/>
      <c r="G61" s="40">
        <v>71.0</v>
      </c>
      <c r="H61" s="40"/>
      <c r="I61" s="212"/>
      <c r="J61" s="40">
        <v>50.0</v>
      </c>
      <c r="K61" s="210">
        <f t="shared" si="24"/>
        <v>121</v>
      </c>
      <c r="L61" s="40">
        <v>30.0</v>
      </c>
      <c r="M61" s="40">
        <v>30.0</v>
      </c>
      <c r="N61" s="213">
        <v>30.0</v>
      </c>
      <c r="O61" s="40">
        <v>30.0</v>
      </c>
      <c r="P61" s="40">
        <v>30.0</v>
      </c>
      <c r="Q61" s="40">
        <v>30.0</v>
      </c>
      <c r="R61" s="40">
        <v>30.0</v>
      </c>
      <c r="S61" s="40">
        <v>30.0</v>
      </c>
      <c r="T61" s="40">
        <v>30.0</v>
      </c>
      <c r="U61" s="40">
        <v>30.0</v>
      </c>
      <c r="V61" s="40">
        <v>30.0</v>
      </c>
      <c r="W61" s="40">
        <v>30.0</v>
      </c>
      <c r="X61" s="210">
        <f t="shared" si="29"/>
        <v>360</v>
      </c>
      <c r="Y61" s="40">
        <f>Plan_GuV!N57</f>
        <v>350</v>
      </c>
      <c r="Z61" s="40">
        <f>Plan_GuV!O57</f>
        <v>350</v>
      </c>
      <c r="AA61" s="40">
        <f>Plan_GuV!P57</f>
        <v>350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ht="15.75" customHeight="1">
      <c r="A62" s="12"/>
      <c r="B62" s="12"/>
      <c r="C62" s="12"/>
      <c r="D62" s="12"/>
      <c r="E62" s="214" t="str">
        <f>'Betriebsgrößenanalyse'!A91</f>
        <v>Telefon- und Internetkosten</v>
      </c>
      <c r="F62" s="214">
        <v>0.0</v>
      </c>
      <c r="G62" s="40">
        <v>0.0</v>
      </c>
      <c r="H62" s="40">
        <f>Plan_GuV!E58</f>
        <v>0</v>
      </c>
      <c r="I62" s="212">
        <f>Plan_GuV!F58</f>
        <v>0</v>
      </c>
      <c r="J62" s="40">
        <v>20.0</v>
      </c>
      <c r="K62" s="210">
        <f t="shared" si="24"/>
        <v>20</v>
      </c>
      <c r="L62" s="40">
        <f>Plan_GuV!$M58/12</f>
        <v>27.40450909</v>
      </c>
      <c r="M62" s="40">
        <f>Plan_GuV!$M58/12</f>
        <v>27.40450909</v>
      </c>
      <c r="N62" s="213">
        <f>Plan_GuV!$M58/12</f>
        <v>27.40450909</v>
      </c>
      <c r="O62" s="40">
        <f>Plan_GuV!$M58/12</f>
        <v>27.40450909</v>
      </c>
      <c r="P62" s="40">
        <f>Plan_GuV!$M58/12</f>
        <v>27.40450909</v>
      </c>
      <c r="Q62" s="40">
        <f>Plan_GuV!$M58/12</f>
        <v>27.40450909</v>
      </c>
      <c r="R62" s="40">
        <f>Plan_GuV!$M58/12</f>
        <v>27.40450909</v>
      </c>
      <c r="S62" s="40">
        <f>Plan_GuV!$M58/12</f>
        <v>27.40450909</v>
      </c>
      <c r="T62" s="40">
        <f>Plan_GuV!$M58/12</f>
        <v>27.40450909</v>
      </c>
      <c r="U62" s="40">
        <f>Plan_GuV!$M58/12</f>
        <v>27.40450909</v>
      </c>
      <c r="V62" s="40">
        <f>Plan_GuV!$M58/12</f>
        <v>27.40450909</v>
      </c>
      <c r="W62" s="40">
        <f>Plan_GuV!$M58/12</f>
        <v>27.40450909</v>
      </c>
      <c r="X62" s="210">
        <f t="shared" si="29"/>
        <v>328.8541091</v>
      </c>
      <c r="Y62" s="40">
        <f>Plan_GuV!N58</f>
        <v>328.8541091</v>
      </c>
      <c r="Z62" s="40">
        <f>Plan_GuV!O58</f>
        <v>328.8541091</v>
      </c>
      <c r="AA62" s="40">
        <f>Plan_GuV!P58</f>
        <v>328.8541091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ht="15.75" customHeight="1">
      <c r="A63" s="12"/>
      <c r="B63" s="12"/>
      <c r="C63" s="12"/>
      <c r="D63" s="12"/>
      <c r="E63" s="214" t="str">
        <f>'Betriebsgrößenanalyse'!A92</f>
        <v>Nebenkosten des Geldverkehrs</v>
      </c>
      <c r="F63" s="214">
        <v>15.0</v>
      </c>
      <c r="G63" s="55">
        <v>18.0</v>
      </c>
      <c r="H63" s="40">
        <v>24.0</v>
      </c>
      <c r="I63" s="212">
        <v>19.0</v>
      </c>
      <c r="J63" s="40">
        <v>20.0</v>
      </c>
      <c r="K63" s="210">
        <f t="shared" si="24"/>
        <v>96</v>
      </c>
      <c r="L63" s="40">
        <v>20.0</v>
      </c>
      <c r="M63" s="40">
        <v>20.0</v>
      </c>
      <c r="N63" s="213">
        <v>20.0</v>
      </c>
      <c r="O63" s="40">
        <v>20.0</v>
      </c>
      <c r="P63" s="40">
        <v>20.0</v>
      </c>
      <c r="Q63" s="40">
        <v>20.0</v>
      </c>
      <c r="R63" s="40">
        <v>20.0</v>
      </c>
      <c r="S63" s="40">
        <v>20.0</v>
      </c>
      <c r="T63" s="40">
        <v>20.0</v>
      </c>
      <c r="U63" s="40">
        <v>20.0</v>
      </c>
      <c r="V63" s="40">
        <v>20.0</v>
      </c>
      <c r="W63" s="40">
        <v>20.0</v>
      </c>
      <c r="X63" s="210">
        <f t="shared" si="29"/>
        <v>240</v>
      </c>
      <c r="Y63" s="40">
        <f>Plan_GuV!N59</f>
        <v>429.4460445</v>
      </c>
      <c r="Z63" s="40">
        <f>Plan_GuV!O59</f>
        <v>429.4460445</v>
      </c>
      <c r="AA63" s="40">
        <f>Plan_GuV!P59</f>
        <v>429.4460445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ht="15.75" customHeight="1">
      <c r="A64" s="12"/>
      <c r="B64" s="12"/>
      <c r="C64" s="12"/>
      <c r="D64" s="12"/>
      <c r="E64" s="214" t="str">
        <f>'Betriebsgrößenanalyse'!A93</f>
        <v>Fortbildungskosten</v>
      </c>
      <c r="F64" s="214">
        <v>0.0</v>
      </c>
      <c r="G64" s="40">
        <v>0.0</v>
      </c>
      <c r="H64" s="40">
        <f>Plan_GuV!E60</f>
        <v>0</v>
      </c>
      <c r="I64" s="212">
        <f>Plan_GuV!F60</f>
        <v>0</v>
      </c>
      <c r="J64" s="40">
        <f>Plan_GuV!G60</f>
        <v>0</v>
      </c>
      <c r="K64" s="210">
        <f t="shared" si="24"/>
        <v>0</v>
      </c>
      <c r="L64" s="40">
        <v>0.0</v>
      </c>
      <c r="M64" s="40">
        <v>0.0</v>
      </c>
      <c r="N64" s="213">
        <v>0.0</v>
      </c>
      <c r="O64" s="40">
        <v>0.0</v>
      </c>
      <c r="P64" s="40">
        <v>0.0</v>
      </c>
      <c r="Q64" s="40">
        <v>0.0</v>
      </c>
      <c r="R64" s="40">
        <v>0.0</v>
      </c>
      <c r="S64" s="40">
        <v>0.0</v>
      </c>
      <c r="T64" s="40">
        <v>0.0</v>
      </c>
      <c r="U64" s="40">
        <v>0.0</v>
      </c>
      <c r="V64" s="40">
        <v>0.0</v>
      </c>
      <c r="W64" s="40">
        <v>0.0</v>
      </c>
      <c r="X64" s="210">
        <f t="shared" si="29"/>
        <v>0</v>
      </c>
      <c r="Y64" s="40">
        <f>Plan_GuV!N60</f>
        <v>1451.894521</v>
      </c>
      <c r="Z64" s="40">
        <f>Plan_GuV!O60</f>
        <v>1451.894521</v>
      </c>
      <c r="AA64" s="40">
        <f>Plan_GuV!P60</f>
        <v>1451.894521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ht="15.75" customHeight="1">
      <c r="A65" s="12"/>
      <c r="B65" s="12"/>
      <c r="C65" s="12"/>
      <c r="D65" s="12"/>
      <c r="E65" s="214" t="str">
        <f>'Betriebsgrößenanalyse'!A94</f>
        <v>Reise- und Bewirtungskosten</v>
      </c>
      <c r="F65" s="214"/>
      <c r="G65" s="40">
        <v>120.0</v>
      </c>
      <c r="H65" s="40">
        <f>Plan_GuV!E61</f>
        <v>0</v>
      </c>
      <c r="I65" s="212">
        <f>Plan_GuV!F61</f>
        <v>0</v>
      </c>
      <c r="J65" s="40">
        <f>Plan_GuV!G61</f>
        <v>0</v>
      </c>
      <c r="K65" s="210">
        <f t="shared" si="24"/>
        <v>120</v>
      </c>
      <c r="L65" s="40">
        <v>50.0</v>
      </c>
      <c r="M65" s="40">
        <v>50.0</v>
      </c>
      <c r="N65" s="213">
        <v>0.0</v>
      </c>
      <c r="O65" s="40">
        <f>Plan_GuV!M61/4</f>
        <v>181.4868152</v>
      </c>
      <c r="P65" s="40">
        <v>0.0</v>
      </c>
      <c r="Q65" s="40">
        <v>0.0</v>
      </c>
      <c r="R65" s="40">
        <f>Plan_GuV!M61/4</f>
        <v>181.4868152</v>
      </c>
      <c r="S65" s="40">
        <v>0.0</v>
      </c>
      <c r="T65" s="40">
        <v>0.0</v>
      </c>
      <c r="U65" s="40">
        <f>Plan_GuV!M61/4</f>
        <v>181.4868152</v>
      </c>
      <c r="V65" s="40">
        <v>0.0</v>
      </c>
      <c r="W65" s="40">
        <v>0.0</v>
      </c>
      <c r="X65" s="210">
        <f t="shared" si="29"/>
        <v>644.4604455</v>
      </c>
      <c r="Y65" s="40">
        <f>Plan_GuV!N61</f>
        <v>725.9472606</v>
      </c>
      <c r="Z65" s="40">
        <f>Plan_GuV!O61</f>
        <v>725.9472606</v>
      </c>
      <c r="AA65" s="40">
        <f>Plan_GuV!P61</f>
        <v>725.9472606</v>
      </c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ht="15.75" customHeight="1">
      <c r="A66" s="12"/>
      <c r="B66" s="12"/>
      <c r="C66" s="12"/>
      <c r="D66" s="12"/>
      <c r="E66" s="214" t="str">
        <f>'Betriebsgrößenanalyse'!A95</f>
        <v>Rechts- und Beratungskosten</v>
      </c>
      <c r="F66" s="214">
        <f>309+2067</f>
        <v>2376</v>
      </c>
      <c r="G66" s="40">
        <v>476.0</v>
      </c>
      <c r="H66" s="40">
        <f>Plan_GuV!E62</f>
        <v>0</v>
      </c>
      <c r="I66" s="212">
        <f>Plan_GuV!F62</f>
        <v>0</v>
      </c>
      <c r="J66" s="40">
        <v>200.0</v>
      </c>
      <c r="K66" s="210">
        <f t="shared" si="24"/>
        <v>3052</v>
      </c>
      <c r="L66" s="40">
        <v>50.0</v>
      </c>
      <c r="M66" s="40">
        <v>50.0</v>
      </c>
      <c r="N66" s="213">
        <v>50.0</v>
      </c>
      <c r="O66" s="40">
        <v>50.0</v>
      </c>
      <c r="P66" s="40">
        <v>50.0</v>
      </c>
      <c r="Q66" s="40">
        <v>50.0</v>
      </c>
      <c r="R66" s="40">
        <v>50.0</v>
      </c>
      <c r="S66" s="40">
        <v>50.0</v>
      </c>
      <c r="T66" s="40">
        <v>50.0</v>
      </c>
      <c r="U66" s="40">
        <v>50.0</v>
      </c>
      <c r="V66" s="40">
        <v>50.0</v>
      </c>
      <c r="W66" s="40">
        <v>50.0</v>
      </c>
      <c r="X66" s="210">
        <f t="shared" si="29"/>
        <v>600</v>
      </c>
      <c r="Y66" s="40">
        <f>Plan_GuV!N62</f>
        <v>1000</v>
      </c>
      <c r="Z66" s="40">
        <f>Plan_GuV!O62</f>
        <v>1000</v>
      </c>
      <c r="AA66" s="40">
        <f>Plan_GuV!P62</f>
        <v>1000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ht="15.75" customHeight="1">
      <c r="A67" s="12"/>
      <c r="B67" s="12"/>
      <c r="C67" s="12"/>
      <c r="D67" s="12"/>
      <c r="E67" s="214" t="str">
        <f>'Betriebsgrößenanalyse'!A96</f>
        <v>Abschluss- und Prüfungskosten</v>
      </c>
      <c r="F67" s="214">
        <v>0.0</v>
      </c>
      <c r="G67" s="40">
        <v>0.0</v>
      </c>
      <c r="H67" s="40">
        <f>Plan_GuV!E63</f>
        <v>0</v>
      </c>
      <c r="I67" s="212">
        <f>Plan_GuV!F63</f>
        <v>0</v>
      </c>
      <c r="J67" s="40">
        <f>Plan_GuV!G63</f>
        <v>0</v>
      </c>
      <c r="K67" s="210">
        <f t="shared" si="24"/>
        <v>0</v>
      </c>
      <c r="L67" s="40">
        <v>150.0</v>
      </c>
      <c r="M67" s="40">
        <v>150.0</v>
      </c>
      <c r="N67" s="213">
        <v>150.0</v>
      </c>
      <c r="O67" s="40">
        <v>150.0</v>
      </c>
      <c r="P67" s="40">
        <v>150.0</v>
      </c>
      <c r="Q67" s="40">
        <v>150.0</v>
      </c>
      <c r="R67" s="40">
        <v>150.0</v>
      </c>
      <c r="S67" s="40">
        <v>150.0</v>
      </c>
      <c r="T67" s="40">
        <v>150.0</v>
      </c>
      <c r="U67" s="40">
        <v>150.0</v>
      </c>
      <c r="V67" s="40">
        <v>150.0</v>
      </c>
      <c r="W67" s="40">
        <v>150.0</v>
      </c>
      <c r="X67" s="210">
        <f t="shared" si="29"/>
        <v>1800</v>
      </c>
      <c r="Y67" s="40">
        <f>Plan_GuV!N63</f>
        <v>2500</v>
      </c>
      <c r="Z67" s="40">
        <f>Plan_GuV!O63</f>
        <v>2500</v>
      </c>
      <c r="AA67" s="40">
        <f>Plan_GuV!P63</f>
        <v>2500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ht="15.75" customHeight="1">
      <c r="A68" s="12"/>
      <c r="B68" s="12"/>
      <c r="C68" s="12"/>
      <c r="D68" s="12"/>
      <c r="E68" s="214" t="str">
        <f>'Betriebsgrößenanalyse'!A97</f>
        <v>Buchführungskosten</v>
      </c>
      <c r="F68" s="214">
        <v>0.0</v>
      </c>
      <c r="G68" s="40">
        <v>0.0</v>
      </c>
      <c r="H68" s="40">
        <f>Plan_GuV!E64</f>
        <v>0</v>
      </c>
      <c r="I68" s="212"/>
      <c r="J68" s="40">
        <v>150.0</v>
      </c>
      <c r="K68" s="210">
        <f t="shared" si="24"/>
        <v>150</v>
      </c>
      <c r="L68" s="40">
        <v>100.0</v>
      </c>
      <c r="M68" s="40">
        <v>100.0</v>
      </c>
      <c r="N68" s="213">
        <v>100.0</v>
      </c>
      <c r="O68" s="40">
        <v>100.0</v>
      </c>
      <c r="P68" s="40">
        <v>100.0</v>
      </c>
      <c r="Q68" s="40">
        <v>100.0</v>
      </c>
      <c r="R68" s="40">
        <v>100.0</v>
      </c>
      <c r="S68" s="40">
        <v>100.0</v>
      </c>
      <c r="T68" s="40">
        <v>100.0</v>
      </c>
      <c r="U68" s="40">
        <v>100.0</v>
      </c>
      <c r="V68" s="40">
        <v>100.0</v>
      </c>
      <c r="W68" s="40">
        <v>100.0</v>
      </c>
      <c r="X68" s="210">
        <f t="shared" si="29"/>
        <v>1200</v>
      </c>
      <c r="Y68" s="40">
        <f>Plan_GuV!N64</f>
        <v>442.8</v>
      </c>
      <c r="Z68" s="40">
        <f>Plan_GuV!O64</f>
        <v>442.8</v>
      </c>
      <c r="AA68" s="40">
        <f>Plan_GuV!P64</f>
        <v>442.8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ht="15.75" customHeight="1">
      <c r="A69" s="12"/>
      <c r="B69" s="12"/>
      <c r="C69" s="12"/>
      <c r="D69" s="12"/>
      <c r="E69" s="214" t="str">
        <f>'Betriebsgrößenanalyse'!A98</f>
        <v>Abraum und Abfallbeseitigungskosten</v>
      </c>
      <c r="F69" s="214">
        <v>0.0</v>
      </c>
      <c r="G69" s="40">
        <v>0.0</v>
      </c>
      <c r="H69" s="40">
        <f>Plan_GuV!E65</f>
        <v>0</v>
      </c>
      <c r="I69" s="212">
        <f>Plan_GuV!F65</f>
        <v>0</v>
      </c>
      <c r="J69" s="40">
        <f>Plan_GuV!G65</f>
        <v>0</v>
      </c>
      <c r="K69" s="210">
        <f t="shared" si="24"/>
        <v>0</v>
      </c>
      <c r="L69" s="40">
        <v>30.0</v>
      </c>
      <c r="M69" s="40">
        <v>30.0</v>
      </c>
      <c r="N69" s="213">
        <v>30.0</v>
      </c>
      <c r="O69" s="40">
        <v>30.0</v>
      </c>
      <c r="P69" s="40">
        <v>30.0</v>
      </c>
      <c r="Q69" s="40">
        <v>30.0</v>
      </c>
      <c r="R69" s="40">
        <v>30.0</v>
      </c>
      <c r="S69" s="40">
        <v>30.0</v>
      </c>
      <c r="T69" s="40">
        <v>30.0</v>
      </c>
      <c r="U69" s="40">
        <v>30.0</v>
      </c>
      <c r="V69" s="40">
        <v>30.0</v>
      </c>
      <c r="W69" s="40">
        <v>30.0</v>
      </c>
      <c r="X69" s="210">
        <f t="shared" si="29"/>
        <v>360</v>
      </c>
      <c r="Y69" s="40">
        <f>Plan_GuV!N65</f>
        <v>361.5</v>
      </c>
      <c r="Z69" s="40">
        <f>Plan_GuV!O65</f>
        <v>361.5</v>
      </c>
      <c r="AA69" s="40">
        <f>Plan_GuV!P65</f>
        <v>361.5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ht="15.75" customHeight="1">
      <c r="A70" s="12"/>
      <c r="B70" s="12"/>
      <c r="C70" s="12"/>
      <c r="D70" s="12"/>
      <c r="E70" s="13" t="s">
        <v>517</v>
      </c>
      <c r="F70" s="13"/>
      <c r="G70" s="40"/>
      <c r="H70" s="40"/>
      <c r="I70" s="212"/>
      <c r="J70" s="40"/>
      <c r="K70" s="210">
        <f t="shared" si="24"/>
        <v>0</v>
      </c>
      <c r="L70" s="40"/>
      <c r="M70" s="40"/>
      <c r="N70" s="213"/>
      <c r="O70" s="40"/>
      <c r="P70" s="40"/>
      <c r="Q70" s="40"/>
      <c r="R70" s="40"/>
      <c r="S70" s="40"/>
      <c r="T70" s="40"/>
      <c r="U70" s="40"/>
      <c r="V70" s="40"/>
      <c r="W70" s="40"/>
      <c r="X70" s="210"/>
      <c r="Y70" s="40"/>
      <c r="Z70" s="40"/>
      <c r="AA70" s="40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ht="15.75" customHeight="1">
      <c r="A71" s="12"/>
      <c r="B71" s="12"/>
      <c r="C71" s="12"/>
      <c r="D71" s="12"/>
      <c r="E71" s="13" t="str">
        <f>'Betriebsgrößenanalyse'!A100</f>
        <v>Betriebsgebäude 430qm? - später</v>
      </c>
      <c r="F71" s="13">
        <v>0.0</v>
      </c>
      <c r="G71" s="40">
        <v>0.0</v>
      </c>
      <c r="H71" s="40">
        <v>0.0</v>
      </c>
      <c r="I71" s="212">
        <v>0.0</v>
      </c>
      <c r="J71" s="40">
        <v>0.0</v>
      </c>
      <c r="K71" s="210">
        <f t="shared" si="24"/>
        <v>0</v>
      </c>
      <c r="L71" s="40">
        <v>0.0</v>
      </c>
      <c r="M71" s="40">
        <v>0.0</v>
      </c>
      <c r="N71" s="213">
        <f>Plan_GuV!$M67/12</f>
        <v>0</v>
      </c>
      <c r="O71" s="40">
        <f>Plan_GuV!$M67/12</f>
        <v>0</v>
      </c>
      <c r="P71" s="40">
        <f>Plan_GuV!$M67/12</f>
        <v>0</v>
      </c>
      <c r="Q71" s="40">
        <f>Plan_GuV!$M67/12</f>
        <v>0</v>
      </c>
      <c r="R71" s="40">
        <f>Plan_GuV!$M67/12</f>
        <v>0</v>
      </c>
      <c r="S71" s="40">
        <f>Plan_GuV!$M67/12</f>
        <v>0</v>
      </c>
      <c r="T71" s="40">
        <f>Plan_GuV!$M67/12</f>
        <v>0</v>
      </c>
      <c r="U71" s="40">
        <f>Plan_GuV!$M67/12</f>
        <v>0</v>
      </c>
      <c r="V71" s="40">
        <f>Plan_GuV!$M67/12</f>
        <v>0</v>
      </c>
      <c r="W71" s="40">
        <f>Plan_GuV!$M67/12</f>
        <v>0</v>
      </c>
      <c r="X71" s="210">
        <f t="shared" ref="X71:X75" si="30">SUM(L71:W71)</f>
        <v>0</v>
      </c>
      <c r="Y71" s="40">
        <f>Plan_GuV!N67</f>
        <v>0</v>
      </c>
      <c r="Z71" s="40">
        <f>Plan_GuV!O67</f>
        <v>0</v>
      </c>
      <c r="AA71" s="40">
        <f>Plan_GuV!P67</f>
        <v>0</v>
      </c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ht="15.75" customHeight="1">
      <c r="A72" s="12"/>
      <c r="B72" s="12"/>
      <c r="C72" s="12"/>
      <c r="D72" s="12"/>
      <c r="E72" s="13" t="str">
        <f>'Betriebsgrößenanalyse'!A101</f>
        <v>Abpackraum [EUR/Monat]</v>
      </c>
      <c r="F72" s="13">
        <v>0.0</v>
      </c>
      <c r="G72" s="40">
        <v>0.0</v>
      </c>
      <c r="H72" s="40">
        <v>0.0</v>
      </c>
      <c r="I72" s="212">
        <v>0.0</v>
      </c>
      <c r="J72" s="40">
        <v>0.0</v>
      </c>
      <c r="K72" s="210">
        <f t="shared" si="24"/>
        <v>0</v>
      </c>
      <c r="L72" s="40">
        <f>Plan_GuV!$M68/12</f>
        <v>105</v>
      </c>
      <c r="M72" s="40">
        <f>Plan_GuV!$M68/12</f>
        <v>105</v>
      </c>
      <c r="N72" s="213">
        <f>Plan_GuV!$M68/12</f>
        <v>105</v>
      </c>
      <c r="O72" s="40">
        <f>Plan_GuV!$M68/12</f>
        <v>105</v>
      </c>
      <c r="P72" s="40">
        <f>Plan_GuV!$M68/12</f>
        <v>105</v>
      </c>
      <c r="Q72" s="40">
        <f>Plan_GuV!$M68/12</f>
        <v>105</v>
      </c>
      <c r="R72" s="40">
        <f>Plan_GuV!$M68/12</f>
        <v>105</v>
      </c>
      <c r="S72" s="40">
        <f>Plan_GuV!$M68/12</f>
        <v>105</v>
      </c>
      <c r="T72" s="40">
        <f>Plan_GuV!$M68/12</f>
        <v>105</v>
      </c>
      <c r="U72" s="40">
        <f>Plan_GuV!$M68/12</f>
        <v>105</v>
      </c>
      <c r="V72" s="40">
        <f>Plan_GuV!$M68/12</f>
        <v>105</v>
      </c>
      <c r="W72" s="40">
        <f>Plan_GuV!$M68/12</f>
        <v>105</v>
      </c>
      <c r="X72" s="210">
        <f t="shared" si="30"/>
        <v>1260</v>
      </c>
      <c r="Y72" s="40">
        <f>Plan_GuV!N68</f>
        <v>1260</v>
      </c>
      <c r="Z72" s="40">
        <f>Plan_GuV!O68</f>
        <v>1260</v>
      </c>
      <c r="AA72" s="40">
        <f>Plan_GuV!P68</f>
        <v>1260</v>
      </c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ht="15.75" hidden="1" customHeight="1">
      <c r="A73" s="12"/>
      <c r="B73" s="12"/>
      <c r="C73" s="12"/>
      <c r="D73" s="12"/>
      <c r="E73" s="13" t="str">
        <f>'Betriebsgrößenanalyse'!A102</f>
        <v>Sanitär + Umkleideraum: 46 qm [EUR/Monat]</v>
      </c>
      <c r="F73" s="13">
        <v>0.0</v>
      </c>
      <c r="G73" s="40">
        <v>0.0</v>
      </c>
      <c r="H73" s="40">
        <v>0.0</v>
      </c>
      <c r="I73" s="212">
        <v>0.0</v>
      </c>
      <c r="J73" s="40">
        <v>0.0</v>
      </c>
      <c r="K73" s="210">
        <f t="shared" si="24"/>
        <v>0</v>
      </c>
      <c r="L73" s="40">
        <f>Plan_GuV!$M69/12</f>
        <v>0</v>
      </c>
      <c r="M73" s="40">
        <f>Plan_GuV!$M69/12</f>
        <v>0</v>
      </c>
      <c r="N73" s="213">
        <f>Plan_GuV!$M69/12</f>
        <v>0</v>
      </c>
      <c r="O73" s="40">
        <f>Plan_GuV!$M69/12</f>
        <v>0</v>
      </c>
      <c r="P73" s="40">
        <f>Plan_GuV!$M69/12</f>
        <v>0</v>
      </c>
      <c r="Q73" s="40">
        <f>Plan_GuV!$M69/12</f>
        <v>0</v>
      </c>
      <c r="R73" s="40">
        <f>Plan_GuV!$M69/12</f>
        <v>0</v>
      </c>
      <c r="S73" s="40">
        <f>Plan_GuV!$M69/12</f>
        <v>0</v>
      </c>
      <c r="T73" s="40">
        <f>Plan_GuV!$M69/12</f>
        <v>0</v>
      </c>
      <c r="U73" s="40">
        <f>Plan_GuV!$M69/12</f>
        <v>0</v>
      </c>
      <c r="V73" s="40">
        <f>Plan_GuV!$M69/12</f>
        <v>0</v>
      </c>
      <c r="W73" s="40">
        <f>Plan_GuV!$M69/12</f>
        <v>0</v>
      </c>
      <c r="X73" s="210">
        <f t="shared" si="30"/>
        <v>0</v>
      </c>
      <c r="Y73" s="40">
        <f>Plan_GuV!N69</f>
        <v>0</v>
      </c>
      <c r="Z73" s="40">
        <f>Plan_GuV!O69</f>
        <v>0</v>
      </c>
      <c r="AA73" s="40">
        <f>Plan_GuV!P69</f>
        <v>0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ht="15.75" hidden="1" customHeight="1">
      <c r="A74" s="12"/>
      <c r="B74" s="12"/>
      <c r="C74" s="12"/>
      <c r="D74" s="12"/>
      <c r="E74" s="13" t="str">
        <f>'Betriebsgrößenanalyse'!A103</f>
        <v>Wohnung [EUR/Monat]</v>
      </c>
      <c r="F74" s="13">
        <v>0.0</v>
      </c>
      <c r="G74" s="40">
        <v>0.0</v>
      </c>
      <c r="H74" s="40">
        <v>0.0</v>
      </c>
      <c r="I74" s="212">
        <v>0.0</v>
      </c>
      <c r="J74" s="40">
        <v>0.0</v>
      </c>
      <c r="K74" s="210">
        <f t="shared" si="24"/>
        <v>0</v>
      </c>
      <c r="L74" s="40">
        <v>0.0</v>
      </c>
      <c r="M74" s="40">
        <v>0.0</v>
      </c>
      <c r="N74" s="213">
        <f>Plan_GuV!$M70/12</f>
        <v>0</v>
      </c>
      <c r="O74" s="40">
        <f>Plan_GuV!$M70/12</f>
        <v>0</v>
      </c>
      <c r="P74" s="40">
        <f>Plan_GuV!$M70/12</f>
        <v>0</v>
      </c>
      <c r="Q74" s="40">
        <f>Plan_GuV!$M70/12</f>
        <v>0</v>
      </c>
      <c r="R74" s="40">
        <f>Plan_GuV!$M70/12</f>
        <v>0</v>
      </c>
      <c r="S74" s="40">
        <f>Plan_GuV!$M70/12</f>
        <v>0</v>
      </c>
      <c r="T74" s="40">
        <f>Plan_GuV!$M70/12</f>
        <v>0</v>
      </c>
      <c r="U74" s="40">
        <f>Plan_GuV!$M70/12</f>
        <v>0</v>
      </c>
      <c r="V74" s="40">
        <f>Plan_GuV!$M70/12</f>
        <v>0</v>
      </c>
      <c r="W74" s="40">
        <f>Plan_GuV!$M70/12</f>
        <v>0</v>
      </c>
      <c r="X74" s="210">
        <f t="shared" si="30"/>
        <v>0</v>
      </c>
      <c r="Y74" s="40">
        <f>Plan_GuV!N70</f>
        <v>0</v>
      </c>
      <c r="Z74" s="40">
        <f>Plan_GuV!O70</f>
        <v>0</v>
      </c>
      <c r="AA74" s="40">
        <f>Plan_GuV!P70</f>
        <v>0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ht="15.75" hidden="1" customHeight="1">
      <c r="A75" s="12"/>
      <c r="B75" s="12"/>
      <c r="C75" s="12"/>
      <c r="D75" s="12"/>
      <c r="E75" s="13"/>
      <c r="F75" s="13">
        <v>0.0</v>
      </c>
      <c r="G75" s="40">
        <v>0.0</v>
      </c>
      <c r="H75" s="40">
        <v>0.0</v>
      </c>
      <c r="I75" s="212">
        <v>0.0</v>
      </c>
      <c r="J75" s="40">
        <v>0.0</v>
      </c>
      <c r="K75" s="210">
        <f t="shared" si="24"/>
        <v>0</v>
      </c>
      <c r="L75" s="40">
        <v>0.0</v>
      </c>
      <c r="M75" s="40">
        <v>0.0</v>
      </c>
      <c r="N75" s="213">
        <f>N74*3</f>
        <v>0</v>
      </c>
      <c r="O75" s="40">
        <v>0.0</v>
      </c>
      <c r="P75" s="40">
        <v>0.0</v>
      </c>
      <c r="Q75" s="40">
        <v>0.0</v>
      </c>
      <c r="R75" s="40">
        <v>0.0</v>
      </c>
      <c r="S75" s="40">
        <v>0.0</v>
      </c>
      <c r="T75" s="40">
        <v>0.0</v>
      </c>
      <c r="U75" s="40">
        <v>0.0</v>
      </c>
      <c r="V75" s="40">
        <v>0.0</v>
      </c>
      <c r="W75" s="40">
        <v>0.0</v>
      </c>
      <c r="X75" s="210">
        <f t="shared" si="30"/>
        <v>0</v>
      </c>
      <c r="Y75" s="40">
        <v>0.0</v>
      </c>
      <c r="Z75" s="40">
        <v>0.0</v>
      </c>
      <c r="AA75" s="40">
        <v>0.0</v>
      </c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ht="15.75" hidden="1" customHeight="1">
      <c r="A76" s="12"/>
      <c r="B76" s="12"/>
      <c r="C76" s="12"/>
      <c r="D76" s="12"/>
      <c r="E76" s="13" t="str">
        <f>'Betriebsgrößenanalyse'!A104</f>
        <v/>
      </c>
      <c r="F76" s="13"/>
      <c r="G76" s="40"/>
      <c r="H76" s="40"/>
      <c r="I76" s="212"/>
      <c r="J76" s="40"/>
      <c r="K76" s="210">
        <f t="shared" si="24"/>
        <v>0</v>
      </c>
      <c r="L76" s="40"/>
      <c r="M76" s="40"/>
      <c r="N76" s="213"/>
      <c r="O76" s="40"/>
      <c r="P76" s="40"/>
      <c r="Q76" s="40"/>
      <c r="R76" s="40"/>
      <c r="S76" s="40"/>
      <c r="T76" s="40"/>
      <c r="U76" s="40"/>
      <c r="V76" s="40"/>
      <c r="W76" s="40"/>
      <c r="X76" s="210"/>
      <c r="Y76" s="40"/>
      <c r="Z76" s="40"/>
      <c r="AA76" s="40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ht="15.75" customHeight="1">
      <c r="A77" s="12"/>
      <c r="B77" s="12"/>
      <c r="C77" s="12"/>
      <c r="D77" s="1" t="s">
        <v>518</v>
      </c>
      <c r="E77" s="13"/>
      <c r="F77" s="40"/>
      <c r="G77" s="40"/>
      <c r="H77" s="40"/>
      <c r="I77" s="40">
        <f t="shared" ref="I77:J77" si="31">(SUM(I46:I75)-I54+I20)*0.19</f>
        <v>217.93</v>
      </c>
      <c r="J77" s="40">
        <f t="shared" si="31"/>
        <v>297.54</v>
      </c>
      <c r="K77" s="210">
        <f t="shared" si="24"/>
        <v>515.47</v>
      </c>
      <c r="L77" s="40">
        <f t="shared" ref="L77:AA77" si="32">(SUM(L46:L75)-L54+L20)*0.19</f>
        <v>405.4586907</v>
      </c>
      <c r="M77" s="40">
        <f t="shared" si="32"/>
        <v>412.5934567</v>
      </c>
      <c r="N77" s="213">
        <f t="shared" si="32"/>
        <v>748.3927877</v>
      </c>
      <c r="O77" s="40">
        <f t="shared" si="32"/>
        <v>828.8350645</v>
      </c>
      <c r="P77" s="40">
        <f t="shared" si="32"/>
        <v>433.5244626</v>
      </c>
      <c r="Q77" s="40">
        <f t="shared" si="32"/>
        <v>452.4794896</v>
      </c>
      <c r="R77" s="40">
        <f t="shared" si="32"/>
        <v>556.8608692</v>
      </c>
      <c r="S77" s="40">
        <f t="shared" si="32"/>
        <v>383.2494873</v>
      </c>
      <c r="T77" s="40">
        <f t="shared" si="32"/>
        <v>331.6621123</v>
      </c>
      <c r="U77" s="40">
        <f t="shared" si="32"/>
        <v>454.3050252</v>
      </c>
      <c r="V77" s="40">
        <f t="shared" si="32"/>
        <v>353.7827103</v>
      </c>
      <c r="W77" s="40">
        <f t="shared" si="32"/>
        <v>315.1435123</v>
      </c>
      <c r="X77" s="210">
        <f t="shared" si="32"/>
        <v>5524.287668</v>
      </c>
      <c r="Y77" s="40">
        <f t="shared" si="32"/>
        <v>6860.173761</v>
      </c>
      <c r="Z77" s="40">
        <f t="shared" si="32"/>
        <v>6860.173761</v>
      </c>
      <c r="AA77" s="40">
        <f t="shared" si="32"/>
        <v>6860.173761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ht="15.75" hidden="1" customHeight="1">
      <c r="A78" s="12"/>
      <c r="B78" s="12"/>
      <c r="C78" s="12"/>
      <c r="D78" s="12"/>
      <c r="E78" s="13"/>
      <c r="F78" s="13"/>
      <c r="G78" s="40"/>
      <c r="H78" s="40"/>
      <c r="I78" s="212"/>
      <c r="J78" s="40"/>
      <c r="K78" s="210">
        <f t="shared" si="24"/>
        <v>0</v>
      </c>
      <c r="L78" s="40"/>
      <c r="M78" s="40"/>
      <c r="N78" s="213"/>
      <c r="O78" s="40"/>
      <c r="P78" s="40"/>
      <c r="Q78" s="40"/>
      <c r="R78" s="40"/>
      <c r="S78" s="40"/>
      <c r="T78" s="40"/>
      <c r="U78" s="40"/>
      <c r="V78" s="40"/>
      <c r="W78" s="40"/>
      <c r="X78" s="210"/>
      <c r="Y78" s="40"/>
      <c r="Z78" s="40"/>
      <c r="AA78" s="40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ht="15.75" hidden="1" customHeight="1">
      <c r="A79" s="12"/>
      <c r="B79" s="12"/>
      <c r="C79" s="12"/>
      <c r="D79" s="1" t="s">
        <v>519</v>
      </c>
      <c r="E79" s="13"/>
      <c r="F79" s="13">
        <v>0.0</v>
      </c>
      <c r="G79" s="40">
        <v>0.0</v>
      </c>
      <c r="H79" s="40">
        <v>0.0</v>
      </c>
      <c r="I79" s="212">
        <v>0.0</v>
      </c>
      <c r="J79" s="40">
        <v>0.0</v>
      </c>
      <c r="K79" s="210">
        <f t="shared" si="24"/>
        <v>0</v>
      </c>
      <c r="L79" s="40">
        <v>0.0</v>
      </c>
      <c r="M79" s="40">
        <v>0.0</v>
      </c>
      <c r="N79" s="213">
        <v>0.0</v>
      </c>
      <c r="O79" s="40">
        <v>0.0</v>
      </c>
      <c r="P79" s="40">
        <v>0.0</v>
      </c>
      <c r="Q79" s="40">
        <v>0.0</v>
      </c>
      <c r="R79" s="40">
        <v>0.0</v>
      </c>
      <c r="S79" s="40">
        <v>0.0</v>
      </c>
      <c r="T79" s="40">
        <v>0.0</v>
      </c>
      <c r="U79" s="40">
        <v>0.0</v>
      </c>
      <c r="V79" s="40">
        <v>0.0</v>
      </c>
      <c r="W79" s="40">
        <v>0.0</v>
      </c>
      <c r="X79" s="210">
        <f>SUM(L79:W79)</f>
        <v>0</v>
      </c>
      <c r="Y79" s="40">
        <v>0.0</v>
      </c>
      <c r="Z79" s="40">
        <v>0.0</v>
      </c>
      <c r="AA79" s="40">
        <v>0.0</v>
      </c>
      <c r="AB79" s="40"/>
      <c r="AC79" s="12"/>
      <c r="AD79" s="12"/>
      <c r="AE79" s="12"/>
      <c r="AF79" s="12"/>
      <c r="AG79" s="12"/>
      <c r="AH79" s="12"/>
      <c r="AI79" s="12"/>
      <c r="AJ79" s="12"/>
      <c r="AK79" s="12"/>
    </row>
    <row r="80" ht="15.75" hidden="1" customHeight="1">
      <c r="A80" s="12"/>
      <c r="B80" s="12"/>
      <c r="C80" s="12"/>
      <c r="D80" s="12"/>
      <c r="E80" s="13"/>
      <c r="F80" s="13"/>
      <c r="G80" s="40"/>
      <c r="H80" s="40"/>
      <c r="I80" s="212"/>
      <c r="J80" s="40"/>
      <c r="K80" s="210">
        <f t="shared" si="24"/>
        <v>0</v>
      </c>
      <c r="L80" s="40"/>
      <c r="M80" s="40"/>
      <c r="N80" s="213"/>
      <c r="O80" s="40"/>
      <c r="P80" s="40"/>
      <c r="Q80" s="40"/>
      <c r="R80" s="40"/>
      <c r="S80" s="40"/>
      <c r="T80" s="40"/>
      <c r="U80" s="40"/>
      <c r="V80" s="40"/>
      <c r="W80" s="40"/>
      <c r="X80" s="210"/>
      <c r="Y80" s="40"/>
      <c r="Z80" s="40"/>
      <c r="AA80" s="40"/>
      <c r="AB80" s="40"/>
      <c r="AC80" s="12"/>
      <c r="AD80" s="12"/>
      <c r="AE80" s="12"/>
      <c r="AF80" s="12"/>
      <c r="AG80" s="12"/>
      <c r="AH80" s="12"/>
      <c r="AI80" s="12"/>
      <c r="AJ80" s="12"/>
      <c r="AK80" s="12"/>
    </row>
    <row r="81" ht="15.75" customHeight="1">
      <c r="A81" s="12"/>
      <c r="B81" s="12"/>
      <c r="C81" s="12"/>
      <c r="D81" s="1" t="s">
        <v>238</v>
      </c>
      <c r="E81" s="13"/>
      <c r="F81" s="13">
        <v>0.0</v>
      </c>
      <c r="G81" s="40">
        <v>0.0</v>
      </c>
      <c r="H81" s="40">
        <v>0.0</v>
      </c>
      <c r="I81" s="212">
        <v>0.0</v>
      </c>
      <c r="J81" s="40">
        <v>0.0</v>
      </c>
      <c r="K81" s="210">
        <f t="shared" si="24"/>
        <v>0</v>
      </c>
      <c r="L81" s="40">
        <v>0.0</v>
      </c>
      <c r="M81" s="40">
        <v>0.0</v>
      </c>
      <c r="N81" s="213">
        <v>0.0</v>
      </c>
      <c r="O81" s="40">
        <v>0.0</v>
      </c>
      <c r="P81" s="40">
        <v>0.0</v>
      </c>
      <c r="Q81" s="40">
        <v>0.0</v>
      </c>
      <c r="R81" s="40">
        <v>0.0</v>
      </c>
      <c r="S81" s="40">
        <v>0.0</v>
      </c>
      <c r="T81" s="40">
        <v>0.0</v>
      </c>
      <c r="U81" s="40">
        <v>0.0</v>
      </c>
      <c r="V81" s="40">
        <v>0.0</v>
      </c>
      <c r="W81" s="40">
        <v>0.0</v>
      </c>
      <c r="X81" s="210">
        <f>SUM(L81:W81)</f>
        <v>0</v>
      </c>
      <c r="Y81" s="40">
        <v>0.0</v>
      </c>
      <c r="Z81" s="40">
        <v>0.0</v>
      </c>
      <c r="AA81" s="40">
        <v>0.0</v>
      </c>
      <c r="AB81" s="40"/>
      <c r="AC81" s="12"/>
      <c r="AD81" s="12"/>
      <c r="AE81" s="12"/>
      <c r="AF81" s="12"/>
      <c r="AG81" s="12"/>
      <c r="AH81" s="12"/>
      <c r="AI81" s="12"/>
      <c r="AJ81" s="12"/>
      <c r="AK81" s="12"/>
    </row>
    <row r="82" ht="15.75" customHeight="1">
      <c r="A82" s="12"/>
      <c r="B82" s="12"/>
      <c r="C82" s="12"/>
      <c r="D82" s="12"/>
      <c r="E82" s="13"/>
      <c r="F82" s="13"/>
      <c r="G82" s="40"/>
      <c r="H82" s="40"/>
      <c r="I82" s="212"/>
      <c r="J82" s="40"/>
      <c r="K82" s="210">
        <f t="shared" si="24"/>
        <v>0</v>
      </c>
      <c r="L82" s="40"/>
      <c r="M82" s="40"/>
      <c r="N82" s="213"/>
      <c r="O82" s="40"/>
      <c r="P82" s="40"/>
      <c r="Q82" s="40"/>
      <c r="R82" s="40"/>
      <c r="S82" s="40"/>
      <c r="T82" s="40"/>
      <c r="U82" s="40"/>
      <c r="V82" s="40"/>
      <c r="W82" s="40"/>
      <c r="X82" s="210"/>
      <c r="Y82" s="40"/>
      <c r="Z82" s="40"/>
      <c r="AA82" s="40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ht="15.75" customHeight="1">
      <c r="A83" s="12"/>
      <c r="B83" s="12"/>
      <c r="C83" s="12"/>
      <c r="D83" s="1" t="s">
        <v>246</v>
      </c>
      <c r="E83" s="13"/>
      <c r="F83" s="13">
        <v>0.0</v>
      </c>
      <c r="G83" s="40">
        <v>0.0</v>
      </c>
      <c r="H83" s="40">
        <v>0.0</v>
      </c>
      <c r="I83" s="212">
        <v>0.0</v>
      </c>
      <c r="J83" s="40">
        <f>Investitionsplanung!D15</f>
        <v>13800</v>
      </c>
      <c r="K83" s="210">
        <f t="shared" si="24"/>
        <v>13800</v>
      </c>
      <c r="L83" s="40">
        <f>Investitionsplanung!E15</f>
        <v>9580</v>
      </c>
      <c r="M83" s="40">
        <v>15000.0</v>
      </c>
      <c r="N83" s="213">
        <v>20000.0</v>
      </c>
      <c r="O83" s="40">
        <v>20000.0</v>
      </c>
      <c r="P83" s="40">
        <v>0.0</v>
      </c>
      <c r="Q83" s="40">
        <v>0.0</v>
      </c>
      <c r="R83" s="40">
        <v>0.0</v>
      </c>
      <c r="S83" s="40">
        <v>0.0</v>
      </c>
      <c r="T83" s="40">
        <v>20000.0</v>
      </c>
      <c r="U83" s="40">
        <v>0.0</v>
      </c>
      <c r="V83" s="40">
        <v>0.0</v>
      </c>
      <c r="W83" s="40">
        <v>0.0</v>
      </c>
      <c r="X83" s="210">
        <f>SUM(L83:W83)</f>
        <v>84580</v>
      </c>
      <c r="Y83" s="40">
        <v>0.0</v>
      </c>
      <c r="Z83" s="40">
        <v>0.0</v>
      </c>
      <c r="AA83" s="40">
        <v>0.0</v>
      </c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ht="15.75" customHeight="1">
      <c r="A84" s="12"/>
      <c r="B84" s="12"/>
      <c r="C84" s="12"/>
      <c r="D84" s="12"/>
      <c r="E84" s="13"/>
      <c r="F84" s="13"/>
      <c r="G84" s="40"/>
      <c r="H84" s="40"/>
      <c r="I84" s="212"/>
      <c r="J84" s="40"/>
      <c r="K84" s="210">
        <f t="shared" si="24"/>
        <v>0</v>
      </c>
      <c r="L84" s="40"/>
      <c r="M84" s="40"/>
      <c r="N84" s="213"/>
      <c r="O84" s="40"/>
      <c r="P84" s="40"/>
      <c r="Q84" s="40"/>
      <c r="R84" s="40"/>
      <c r="S84" s="40"/>
      <c r="T84" s="40"/>
      <c r="U84" s="40"/>
      <c r="V84" s="40"/>
      <c r="W84" s="40"/>
      <c r="X84" s="210"/>
      <c r="Y84" s="40"/>
      <c r="Z84" s="40"/>
      <c r="AA84" s="40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ht="15.75" customHeight="1">
      <c r="A85" s="12"/>
      <c r="B85" s="12"/>
      <c r="C85" s="12"/>
      <c r="D85" s="1" t="s">
        <v>520</v>
      </c>
      <c r="E85" s="13"/>
      <c r="F85" s="13">
        <f t="shared" ref="F85:J85" si="33">F83*0.19</f>
        <v>0</v>
      </c>
      <c r="G85" s="40">
        <f t="shared" si="33"/>
        <v>0</v>
      </c>
      <c r="H85" s="40">
        <f t="shared" si="33"/>
        <v>0</v>
      </c>
      <c r="I85" s="212">
        <f t="shared" si="33"/>
        <v>0</v>
      </c>
      <c r="J85" s="40">
        <f t="shared" si="33"/>
        <v>2622</v>
      </c>
      <c r="K85" s="210">
        <f t="shared" si="24"/>
        <v>2622</v>
      </c>
      <c r="L85" s="40">
        <f t="shared" ref="L85:X85" si="34">L83*0.19</f>
        <v>1820.2</v>
      </c>
      <c r="M85" s="40">
        <f t="shared" si="34"/>
        <v>2850</v>
      </c>
      <c r="N85" s="213">
        <f t="shared" si="34"/>
        <v>3800</v>
      </c>
      <c r="O85" s="40">
        <f t="shared" si="34"/>
        <v>3800</v>
      </c>
      <c r="P85" s="40">
        <f t="shared" si="34"/>
        <v>0</v>
      </c>
      <c r="Q85" s="40">
        <f t="shared" si="34"/>
        <v>0</v>
      </c>
      <c r="R85" s="40">
        <f t="shared" si="34"/>
        <v>0</v>
      </c>
      <c r="S85" s="40">
        <f t="shared" si="34"/>
        <v>0</v>
      </c>
      <c r="T85" s="40">
        <f t="shared" si="34"/>
        <v>3800</v>
      </c>
      <c r="U85" s="40">
        <f t="shared" si="34"/>
        <v>0</v>
      </c>
      <c r="V85" s="40">
        <f t="shared" si="34"/>
        <v>0</v>
      </c>
      <c r="W85" s="40">
        <f t="shared" si="34"/>
        <v>0</v>
      </c>
      <c r="X85" s="210">
        <f t="shared" si="34"/>
        <v>16070.2</v>
      </c>
      <c r="Y85" s="40">
        <v>0.0</v>
      </c>
      <c r="Z85" s="40">
        <f t="shared" ref="Z85:AA85" si="35">Z83*0.19</f>
        <v>0</v>
      </c>
      <c r="AA85" s="40">
        <f t="shared" si="35"/>
        <v>0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ht="15.75" customHeight="1">
      <c r="A86" s="12"/>
      <c r="B86" s="12"/>
      <c r="C86" s="12"/>
      <c r="D86" s="12"/>
      <c r="E86" s="13"/>
      <c r="F86" s="13"/>
      <c r="G86" s="40"/>
      <c r="H86" s="40"/>
      <c r="I86" s="212"/>
      <c r="J86" s="40"/>
      <c r="K86" s="210">
        <f t="shared" si="24"/>
        <v>0</v>
      </c>
      <c r="L86" s="40"/>
      <c r="M86" s="40"/>
      <c r="N86" s="213"/>
      <c r="O86" s="40"/>
      <c r="P86" s="40"/>
      <c r="Q86" s="40"/>
      <c r="R86" s="40"/>
      <c r="S86" s="40"/>
      <c r="T86" s="40"/>
      <c r="U86" s="40"/>
      <c r="V86" s="40"/>
      <c r="W86" s="40"/>
      <c r="X86" s="210"/>
      <c r="Y86" s="40"/>
      <c r="Z86" s="40"/>
      <c r="AA86" s="40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ht="15.75" customHeight="1">
      <c r="A87" s="12"/>
      <c r="B87" s="12"/>
      <c r="C87" s="12"/>
      <c r="D87" s="1" t="s">
        <v>521</v>
      </c>
      <c r="E87" s="13"/>
      <c r="F87" s="13">
        <f t="shared" ref="F87:J87" si="36">F85*0.19</f>
        <v>0</v>
      </c>
      <c r="G87" s="40">
        <f t="shared" si="36"/>
        <v>0</v>
      </c>
      <c r="H87" s="40">
        <f t="shared" si="36"/>
        <v>0</v>
      </c>
      <c r="I87" s="212">
        <f t="shared" si="36"/>
        <v>0</v>
      </c>
      <c r="J87" s="40">
        <f t="shared" si="36"/>
        <v>498.18</v>
      </c>
      <c r="K87" s="210">
        <f t="shared" si="24"/>
        <v>498.18</v>
      </c>
      <c r="L87" s="40">
        <v>0.0</v>
      </c>
      <c r="M87" s="40">
        <v>0.0</v>
      </c>
      <c r="N87" s="213">
        <v>0.0</v>
      </c>
      <c r="O87" s="40">
        <v>0.0</v>
      </c>
      <c r="P87" s="40">
        <v>0.0</v>
      </c>
      <c r="Q87" s="40">
        <v>0.0</v>
      </c>
      <c r="R87" s="40">
        <v>0.0</v>
      </c>
      <c r="S87" s="40">
        <v>0.0</v>
      </c>
      <c r="T87" s="40">
        <v>0.0</v>
      </c>
      <c r="U87" s="40">
        <v>0.0</v>
      </c>
      <c r="V87" s="40">
        <v>0.0</v>
      </c>
      <c r="W87" s="40">
        <v>0.0</v>
      </c>
      <c r="X87" s="210"/>
      <c r="Y87" s="38" t="str">
        <f>SUM(Plan_GuV!N77:N78)</f>
        <v>#REF!</v>
      </c>
      <c r="Z87" s="38" t="str">
        <f>SUM(Plan_GuV!O77:O78)</f>
        <v>#REF!</v>
      </c>
      <c r="AA87" s="38" t="str">
        <f>SUM(Plan_GuV!P77:P78)</f>
        <v>#REF!</v>
      </c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ht="15.75" customHeight="1">
      <c r="A88" s="12"/>
      <c r="B88" s="12"/>
      <c r="C88" s="12"/>
      <c r="D88" s="12"/>
      <c r="E88" s="13"/>
      <c r="F88" s="13"/>
      <c r="G88" s="40"/>
      <c r="H88" s="40"/>
      <c r="I88" s="212"/>
      <c r="J88" s="40"/>
      <c r="K88" s="210">
        <f t="shared" si="24"/>
        <v>0</v>
      </c>
      <c r="L88" s="40"/>
      <c r="M88" s="40"/>
      <c r="N88" s="213"/>
      <c r="O88" s="40"/>
      <c r="P88" s="40"/>
      <c r="Q88" s="40"/>
      <c r="R88" s="40"/>
      <c r="S88" s="40"/>
      <c r="T88" s="40"/>
      <c r="U88" s="40"/>
      <c r="V88" s="40"/>
      <c r="W88" s="40"/>
      <c r="X88" s="210"/>
      <c r="Y88" s="40"/>
      <c r="Z88" s="40"/>
      <c r="AA88" s="40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ht="15.75" customHeight="1">
      <c r="A89" s="12"/>
      <c r="B89" s="12"/>
      <c r="C89" s="12"/>
      <c r="D89" s="1" t="s">
        <v>522</v>
      </c>
      <c r="E89" s="13"/>
      <c r="F89" s="13"/>
      <c r="G89" s="40"/>
      <c r="H89" s="40"/>
      <c r="I89" s="212"/>
      <c r="J89" s="40"/>
      <c r="K89" s="210">
        <f t="shared" si="24"/>
        <v>0</v>
      </c>
      <c r="L89" s="40">
        <f t="shared" ref="L89:W89" si="37">L17-(L77+L85)</f>
        <v>-2211.658691</v>
      </c>
      <c r="M89" s="40">
        <f t="shared" si="37"/>
        <v>-3248.593457</v>
      </c>
      <c r="N89" s="213">
        <f t="shared" si="37"/>
        <v>-4024.112414</v>
      </c>
      <c r="O89" s="40">
        <f t="shared" si="37"/>
        <v>-4053.524691</v>
      </c>
      <c r="P89" s="40">
        <f t="shared" si="37"/>
        <v>192.8159112</v>
      </c>
      <c r="Q89" s="40">
        <f t="shared" si="37"/>
        <v>224.8908842</v>
      </c>
      <c r="R89" s="40">
        <f t="shared" si="37"/>
        <v>168.0395047</v>
      </c>
      <c r="S89" s="40">
        <f t="shared" si="37"/>
        <v>341.6508865</v>
      </c>
      <c r="T89" s="40">
        <f t="shared" si="37"/>
        <v>-3406.761738</v>
      </c>
      <c r="U89" s="40">
        <f t="shared" si="37"/>
        <v>270.5953487</v>
      </c>
      <c r="V89" s="40">
        <f t="shared" si="37"/>
        <v>371.1176635</v>
      </c>
      <c r="W89" s="40">
        <f t="shared" si="37"/>
        <v>409.7568615</v>
      </c>
      <c r="X89" s="210">
        <f>SUM(L89:W89)</f>
        <v>-14965.78393</v>
      </c>
      <c r="Y89" s="40">
        <f t="shared" ref="Y89:AA89" si="38">Y17-(Y77+Y85)</f>
        <v>6917.396332</v>
      </c>
      <c r="Z89" s="40">
        <f t="shared" si="38"/>
        <v>6917.396332</v>
      </c>
      <c r="AA89" s="40">
        <f t="shared" si="38"/>
        <v>6917.396332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ht="15.75" customHeight="1">
      <c r="A90" s="12"/>
      <c r="B90" s="12"/>
      <c r="C90" s="12"/>
      <c r="D90" s="12"/>
      <c r="E90" s="13"/>
      <c r="F90" s="13"/>
      <c r="G90" s="40"/>
      <c r="H90" s="40"/>
      <c r="I90" s="212"/>
      <c r="J90" s="40"/>
      <c r="K90" s="210">
        <f t="shared" si="24"/>
        <v>0</v>
      </c>
      <c r="L90" s="40"/>
      <c r="M90" s="40"/>
      <c r="N90" s="213"/>
      <c r="O90" s="40"/>
      <c r="P90" s="40"/>
      <c r="Q90" s="40"/>
      <c r="R90" s="40"/>
      <c r="S90" s="40"/>
      <c r="T90" s="40"/>
      <c r="U90" s="40"/>
      <c r="V90" s="40"/>
      <c r="W90" s="40"/>
      <c r="X90" s="210"/>
      <c r="Y90" s="40"/>
      <c r="Z90" s="40"/>
      <c r="AA90" s="40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ht="15.75" customHeight="1">
      <c r="A91" s="5"/>
      <c r="B91" s="5"/>
      <c r="C91" s="5" t="s">
        <v>523</v>
      </c>
      <c r="D91" s="5"/>
      <c r="E91" s="208"/>
      <c r="F91" s="38">
        <f t="shared" ref="F91:J91" si="39">F5-F19</f>
        <v>-2391</v>
      </c>
      <c r="G91" s="38">
        <f t="shared" si="39"/>
        <v>-1299.44</v>
      </c>
      <c r="H91" s="38">
        <f t="shared" si="39"/>
        <v>-3138</v>
      </c>
      <c r="I91" s="209">
        <f t="shared" si="39"/>
        <v>-4304.93</v>
      </c>
      <c r="J91" s="38">
        <f t="shared" si="39"/>
        <v>-19133.72</v>
      </c>
      <c r="K91" s="210">
        <f t="shared" si="24"/>
        <v>-30267.09</v>
      </c>
      <c r="L91" s="38">
        <f t="shared" ref="L91:AA91" si="40">L5-L19</f>
        <v>-14738.99311</v>
      </c>
      <c r="M91" s="38">
        <f t="shared" si="40"/>
        <v>-20196.54451</v>
      </c>
      <c r="N91" s="211">
        <f t="shared" si="40"/>
        <v>-20474.18978</v>
      </c>
      <c r="O91" s="38">
        <f t="shared" si="40"/>
        <v>-20168.57019</v>
      </c>
      <c r="P91" s="38">
        <f t="shared" si="40"/>
        <v>2641.011928</v>
      </c>
      <c r="Q91" s="38">
        <f t="shared" si="40"/>
        <v>3270.248628</v>
      </c>
      <c r="R91" s="38">
        <f t="shared" si="40"/>
        <v>3399.872946</v>
      </c>
      <c r="S91" s="38">
        <f t="shared" si="40"/>
        <v>3963.617062</v>
      </c>
      <c r="T91" s="38">
        <f t="shared" si="40"/>
        <v>-15414.87044</v>
      </c>
      <c r="U91" s="38">
        <f t="shared" si="40"/>
        <v>3939.640546</v>
      </c>
      <c r="V91" s="38">
        <f t="shared" si="40"/>
        <v>4468.705362</v>
      </c>
      <c r="W91" s="38">
        <f t="shared" si="40"/>
        <v>4672.069562</v>
      </c>
      <c r="X91" s="210">
        <f t="shared" si="40"/>
        <v>-63686.00199</v>
      </c>
      <c r="Y91" s="38" t="str">
        <f t="shared" si="40"/>
        <v>#REF!</v>
      </c>
      <c r="Z91" s="38" t="str">
        <f t="shared" si="40"/>
        <v>#REF!</v>
      </c>
      <c r="AA91" s="38" t="str">
        <f t="shared" si="40"/>
        <v>#REF!</v>
      </c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ht="15.75" customHeight="1">
      <c r="A92" s="12"/>
      <c r="B92" s="12"/>
      <c r="C92" s="12"/>
      <c r="D92" s="1" t="s">
        <v>524</v>
      </c>
      <c r="E92" s="13"/>
      <c r="F92" s="38">
        <v>6300.0</v>
      </c>
      <c r="G92" s="40">
        <v>2455.0</v>
      </c>
      <c r="H92" s="40">
        <v>2788.0</v>
      </c>
      <c r="I92" s="212">
        <v>4800.0</v>
      </c>
      <c r="J92" s="40">
        <v>2850.0</v>
      </c>
      <c r="K92" s="210">
        <v>0.0</v>
      </c>
      <c r="L92" s="40">
        <v>1500.0</v>
      </c>
      <c r="M92" s="40">
        <v>1500.0</v>
      </c>
      <c r="N92" s="213">
        <v>1500.0</v>
      </c>
      <c r="O92" s="40">
        <v>1500.0</v>
      </c>
      <c r="P92" s="40">
        <v>1500.0</v>
      </c>
      <c r="Q92" s="40">
        <v>1500.0</v>
      </c>
      <c r="R92" s="40">
        <v>1500.0</v>
      </c>
      <c r="S92" s="40">
        <v>1500.0</v>
      </c>
      <c r="T92" s="40">
        <v>0.0</v>
      </c>
      <c r="U92" s="40">
        <v>0.0</v>
      </c>
      <c r="V92" s="40">
        <v>0.0</v>
      </c>
      <c r="W92" s="40">
        <v>0.0</v>
      </c>
      <c r="X92" s="210">
        <f t="shared" ref="X92:X94" si="41">SUM(L92:W92)</f>
        <v>12000</v>
      </c>
      <c r="Y92" s="40">
        <f>'Mitglieder-_&amp;_Umsatzwachstum'!F20*Datengrundlage!$C7</f>
        <v>0</v>
      </c>
      <c r="Z92" s="40">
        <f>'Mitglieder-_&amp;_Umsatzwachstum'!G20*Datengrundlage!$C7</f>
        <v>0</v>
      </c>
      <c r="AA92" s="40">
        <f>'Mitglieder-_&amp;_Umsatzwachstum'!H20*Datengrundlage!$C7</f>
        <v>0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ht="15.75" customHeight="1">
      <c r="A93" s="12"/>
      <c r="B93" s="12"/>
      <c r="C93" s="12"/>
      <c r="D93" s="1" t="s">
        <v>525</v>
      </c>
      <c r="E93" s="13"/>
      <c r="F93" s="13">
        <v>0.0</v>
      </c>
      <c r="G93" s="40">
        <v>0.0</v>
      </c>
      <c r="H93" s="40">
        <v>0.0</v>
      </c>
      <c r="I93" s="212">
        <v>0.0</v>
      </c>
      <c r="J93" s="40">
        <v>7000.0</v>
      </c>
      <c r="K93" s="219">
        <f t="shared" ref="K93:K97" si="42">SUM(F93:J93)</f>
        <v>7000</v>
      </c>
      <c r="L93" s="220">
        <v>23000.0</v>
      </c>
      <c r="M93" s="220">
        <v>2500.0</v>
      </c>
      <c r="N93" s="220">
        <v>10000.0</v>
      </c>
      <c r="O93" s="221">
        <v>10000.0</v>
      </c>
      <c r="P93" s="221">
        <v>0.0</v>
      </c>
      <c r="Q93" s="221">
        <v>5000.0</v>
      </c>
      <c r="R93" s="221">
        <v>5000.0</v>
      </c>
      <c r="S93" s="221">
        <v>5000.0</v>
      </c>
      <c r="T93" s="221">
        <v>5000.0</v>
      </c>
      <c r="U93" s="221">
        <v>5000.0</v>
      </c>
      <c r="V93" s="40">
        <v>0.0</v>
      </c>
      <c r="W93" s="40">
        <v>0.0</v>
      </c>
      <c r="X93" s="210">
        <f t="shared" si="41"/>
        <v>70500</v>
      </c>
      <c r="Y93" s="40">
        <v>0.0</v>
      </c>
      <c r="Z93" s="40">
        <v>0.0</v>
      </c>
      <c r="AA93" s="40">
        <v>0.0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ht="15.75" customHeight="1">
      <c r="A94" s="12"/>
      <c r="B94" s="12"/>
      <c r="C94" s="12"/>
      <c r="D94" s="12"/>
      <c r="E94" s="13" t="s">
        <v>526</v>
      </c>
      <c r="F94" s="13"/>
      <c r="G94" s="40"/>
      <c r="H94" s="40"/>
      <c r="I94" s="212"/>
      <c r="J94" s="40"/>
      <c r="K94" s="210">
        <f t="shared" si="42"/>
        <v>0</v>
      </c>
      <c r="L94" s="40"/>
      <c r="M94" s="40"/>
      <c r="N94" s="213"/>
      <c r="O94" s="40"/>
      <c r="P94" s="40"/>
      <c r="Q94" s="40"/>
      <c r="R94" s="40"/>
      <c r="S94" s="40"/>
      <c r="T94" s="40"/>
      <c r="U94" s="40"/>
      <c r="V94" s="40"/>
      <c r="W94" s="40"/>
      <c r="X94" s="210">
        <f t="shared" si="41"/>
        <v>0</v>
      </c>
      <c r="Y94" s="40"/>
      <c r="Z94" s="40"/>
      <c r="AA94" s="40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ht="15.75" customHeight="1">
      <c r="A95" s="5"/>
      <c r="B95" s="5"/>
      <c r="C95" s="5" t="s">
        <v>527</v>
      </c>
      <c r="D95" s="5"/>
      <c r="E95" s="208"/>
      <c r="F95" s="38">
        <f t="shared" ref="F95:J95" si="43">F91+F92+F93</f>
        <v>3909</v>
      </c>
      <c r="G95" s="38">
        <f t="shared" si="43"/>
        <v>1155.56</v>
      </c>
      <c r="H95" s="38">
        <f t="shared" si="43"/>
        <v>-350</v>
      </c>
      <c r="I95" s="209">
        <f t="shared" si="43"/>
        <v>495.07</v>
      </c>
      <c r="J95" s="38">
        <f t="shared" si="43"/>
        <v>-9283.72</v>
      </c>
      <c r="K95" s="222">
        <f t="shared" si="42"/>
        <v>-4074.09</v>
      </c>
      <c r="L95" s="38">
        <f t="shared" ref="L95:AA95" si="44">L91+L92+L93</f>
        <v>9761.006891</v>
      </c>
      <c r="M95" s="223">
        <f t="shared" si="44"/>
        <v>-16196.54451</v>
      </c>
      <c r="N95" s="224">
        <f t="shared" si="44"/>
        <v>-8974.189783</v>
      </c>
      <c r="O95" s="223">
        <f t="shared" si="44"/>
        <v>-8668.570187</v>
      </c>
      <c r="P95" s="38">
        <f t="shared" si="44"/>
        <v>4141.011928</v>
      </c>
      <c r="Q95" s="38">
        <f t="shared" si="44"/>
        <v>9770.248628</v>
      </c>
      <c r="R95" s="38">
        <f t="shared" si="44"/>
        <v>9899.872946</v>
      </c>
      <c r="S95" s="38">
        <f t="shared" si="44"/>
        <v>10463.61706</v>
      </c>
      <c r="T95" s="223">
        <f t="shared" si="44"/>
        <v>-10414.87044</v>
      </c>
      <c r="U95" s="38">
        <f t="shared" si="44"/>
        <v>8939.640546</v>
      </c>
      <c r="V95" s="38">
        <f t="shared" si="44"/>
        <v>4468.705362</v>
      </c>
      <c r="W95" s="38">
        <f t="shared" si="44"/>
        <v>4672.069562</v>
      </c>
      <c r="X95" s="225">
        <f t="shared" si="44"/>
        <v>18813.99801</v>
      </c>
      <c r="Y95" s="38" t="str">
        <f t="shared" si="44"/>
        <v>#REF!</v>
      </c>
      <c r="Z95" s="38" t="str">
        <f t="shared" si="44"/>
        <v>#REF!</v>
      </c>
      <c r="AA95" s="38" t="str">
        <f t="shared" si="44"/>
        <v>#REF!</v>
      </c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ht="15.75" hidden="1" customHeight="1">
      <c r="A96" s="12"/>
      <c r="B96" s="12"/>
      <c r="C96" s="12"/>
      <c r="D96" s="12"/>
      <c r="E96" s="13"/>
      <c r="F96" s="13"/>
      <c r="G96" s="40"/>
      <c r="H96" s="40"/>
      <c r="I96" s="212"/>
      <c r="J96" s="40"/>
      <c r="K96" s="38">
        <f t="shared" si="42"/>
        <v>0</v>
      </c>
      <c r="L96" s="40"/>
      <c r="M96" s="40"/>
      <c r="N96" s="213"/>
      <c r="O96" s="40"/>
      <c r="P96" s="40"/>
      <c r="Q96" s="40"/>
      <c r="R96" s="40"/>
      <c r="S96" s="40"/>
      <c r="T96" s="40"/>
      <c r="U96" s="40"/>
      <c r="V96" s="40"/>
      <c r="W96" s="40"/>
      <c r="X96" s="38"/>
      <c r="Y96" s="40"/>
      <c r="Z96" s="40"/>
      <c r="AA96" s="40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ht="15.75" hidden="1" customHeight="1">
      <c r="A97" s="5"/>
      <c r="B97" s="5" t="s">
        <v>528</v>
      </c>
      <c r="C97" s="5"/>
      <c r="D97" s="5"/>
      <c r="E97" s="208"/>
      <c r="F97" s="208"/>
      <c r="G97" s="38"/>
      <c r="H97" s="38">
        <f t="shared" ref="H97:J97" si="45">G97+H95</f>
        <v>-350</v>
      </c>
      <c r="I97" s="209">
        <f t="shared" si="45"/>
        <v>145.07</v>
      </c>
      <c r="J97" s="38">
        <f t="shared" si="45"/>
        <v>-9138.65</v>
      </c>
      <c r="K97" s="38">
        <f t="shared" si="42"/>
        <v>-9343.58</v>
      </c>
      <c r="L97" s="38">
        <f>J97+L95</f>
        <v>622.3568909</v>
      </c>
      <c r="M97" s="38">
        <f t="shared" ref="M97:W97" si="46">L97+M95</f>
        <v>-15574.18762</v>
      </c>
      <c r="N97" s="211">
        <f t="shared" si="46"/>
        <v>-24548.3774</v>
      </c>
      <c r="O97" s="38">
        <f t="shared" si="46"/>
        <v>-33216.94759</v>
      </c>
      <c r="P97" s="38">
        <f t="shared" si="46"/>
        <v>-29075.93566</v>
      </c>
      <c r="Q97" s="38">
        <f t="shared" si="46"/>
        <v>-19305.68703</v>
      </c>
      <c r="R97" s="38">
        <f t="shared" si="46"/>
        <v>-9405.814085</v>
      </c>
      <c r="S97" s="38">
        <f t="shared" si="46"/>
        <v>1057.802976</v>
      </c>
      <c r="T97" s="38">
        <f t="shared" si="46"/>
        <v>-9357.067462</v>
      </c>
      <c r="U97" s="38">
        <f t="shared" si="46"/>
        <v>-417.4269159</v>
      </c>
      <c r="V97" s="38">
        <f t="shared" si="46"/>
        <v>4051.278446</v>
      </c>
      <c r="W97" s="38">
        <f t="shared" si="46"/>
        <v>8723.348007</v>
      </c>
      <c r="X97" s="38"/>
      <c r="Y97" s="38" t="str">
        <f>W97+Y95</f>
        <v>#REF!</v>
      </c>
      <c r="Z97" s="38" t="str">
        <f t="shared" ref="Z97:AA97" si="47">Y97+Z95</f>
        <v>#REF!</v>
      </c>
      <c r="AA97" s="38" t="str">
        <f t="shared" si="47"/>
        <v>#REF!</v>
      </c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ht="15.75" customHeight="1">
      <c r="A98" s="12"/>
      <c r="B98" s="12"/>
      <c r="C98" s="12"/>
      <c r="D98" s="12"/>
      <c r="E98" s="13"/>
      <c r="F98" s="13"/>
      <c r="G98" s="12"/>
      <c r="H98" s="12"/>
      <c r="I98" s="209"/>
      <c r="J98" s="3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ht="15.75" customHeight="1">
      <c r="A99" s="12"/>
      <c r="B99" s="12"/>
      <c r="C99" s="12"/>
      <c r="D99" s="12"/>
      <c r="E99" s="13"/>
      <c r="F99" s="13"/>
      <c r="G99" s="12"/>
      <c r="H99" s="12"/>
      <c r="I99" s="200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ht="15.75" hidden="1" customHeight="1">
      <c r="A100" s="12"/>
      <c r="B100" s="12"/>
      <c r="C100" s="12"/>
      <c r="D100" s="12"/>
      <c r="E100" s="13" t="s">
        <v>529</v>
      </c>
      <c r="F100" s="13">
        <v>19.1</v>
      </c>
      <c r="G100" s="12">
        <v>2067.3</v>
      </c>
      <c r="H100" s="12"/>
      <c r="I100" s="200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ht="15.75" customHeight="1">
      <c r="A101" s="12"/>
      <c r="B101" s="12"/>
      <c r="C101" s="12"/>
      <c r="D101" s="12"/>
      <c r="E101" s="13"/>
      <c r="F101" s="13"/>
      <c r="G101" s="12"/>
      <c r="H101" s="12"/>
      <c r="I101" s="200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ht="15.75" customHeight="1">
      <c r="A102" s="12"/>
      <c r="B102" s="12"/>
      <c r="C102" s="12"/>
      <c r="D102" s="12"/>
      <c r="E102" s="13"/>
      <c r="F102" s="13"/>
      <c r="G102" s="12"/>
      <c r="H102" s="12"/>
      <c r="I102" s="200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ht="15.75" customHeight="1">
      <c r="A103" s="12"/>
      <c r="B103" s="12"/>
      <c r="C103" s="12"/>
      <c r="D103" s="12"/>
      <c r="E103" s="13"/>
      <c r="F103" s="13"/>
      <c r="G103" s="12"/>
      <c r="H103" s="12"/>
      <c r="I103" s="200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ht="15.75" customHeight="1">
      <c r="A104" s="12"/>
      <c r="B104" s="12"/>
      <c r="C104" s="12"/>
      <c r="D104" s="12"/>
      <c r="E104" s="13"/>
      <c r="F104" s="13"/>
      <c r="G104" s="12"/>
      <c r="H104" s="12"/>
      <c r="I104" s="200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ht="15.75" customHeight="1">
      <c r="A105" s="12"/>
      <c r="B105" s="12"/>
      <c r="C105" s="12"/>
      <c r="D105" s="12"/>
      <c r="E105" s="13"/>
      <c r="F105" s="13"/>
      <c r="G105" s="12"/>
      <c r="H105" s="12"/>
      <c r="I105" s="200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ht="15.75" customHeight="1">
      <c r="A106" s="12"/>
      <c r="B106" s="12"/>
      <c r="C106" s="12"/>
      <c r="D106" s="12"/>
      <c r="E106" s="13"/>
      <c r="F106" s="13"/>
      <c r="G106" s="12"/>
      <c r="H106" s="12"/>
      <c r="I106" s="200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ht="15.75" customHeight="1">
      <c r="A107" s="12"/>
      <c r="B107" s="12"/>
      <c r="C107" s="12"/>
      <c r="D107" s="12"/>
      <c r="E107" s="13"/>
      <c r="F107" s="13"/>
      <c r="G107" s="12"/>
      <c r="H107" s="12"/>
      <c r="I107" s="200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ht="15.75" customHeight="1">
      <c r="A108" s="12"/>
      <c r="B108" s="12"/>
      <c r="C108" s="12"/>
      <c r="D108" s="12"/>
      <c r="E108" s="13"/>
      <c r="F108" s="13"/>
      <c r="G108" s="12"/>
      <c r="H108" s="12"/>
      <c r="I108" s="200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ht="15.75" customHeight="1">
      <c r="A109" s="12"/>
      <c r="B109" s="12"/>
      <c r="C109" s="12"/>
      <c r="D109" s="12"/>
      <c r="E109" s="13"/>
      <c r="F109" s="13"/>
      <c r="G109" s="12"/>
      <c r="H109" s="12"/>
      <c r="I109" s="200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ht="15.75" customHeight="1">
      <c r="A110" s="12"/>
      <c r="B110" s="12"/>
      <c r="C110" s="12"/>
      <c r="D110" s="12"/>
      <c r="E110" s="13"/>
      <c r="F110" s="13"/>
      <c r="G110" s="12"/>
      <c r="H110" s="12"/>
      <c r="I110" s="200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ht="15.75" customHeight="1">
      <c r="A111" s="12"/>
      <c r="B111" s="12"/>
      <c r="C111" s="12"/>
      <c r="D111" s="12"/>
      <c r="E111" s="13"/>
      <c r="F111" s="13"/>
      <c r="G111" s="12"/>
      <c r="H111" s="12"/>
      <c r="I111" s="200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ht="15.75" customHeight="1">
      <c r="A112" s="12"/>
      <c r="B112" s="12"/>
      <c r="C112" s="12"/>
      <c r="D112" s="12"/>
      <c r="E112" s="13"/>
      <c r="F112" s="13"/>
      <c r="G112" s="12"/>
      <c r="H112" s="12"/>
      <c r="I112" s="200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ht="15.75" customHeight="1">
      <c r="A113" s="12"/>
      <c r="B113" s="12"/>
      <c r="C113" s="12"/>
      <c r="D113" s="12"/>
      <c r="E113" s="13"/>
      <c r="F113" s="13"/>
      <c r="G113" s="12"/>
      <c r="H113" s="12"/>
      <c r="I113" s="200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ht="15.75" customHeight="1">
      <c r="A114" s="12"/>
      <c r="B114" s="12"/>
      <c r="C114" s="12"/>
      <c r="D114" s="12"/>
      <c r="E114" s="13"/>
      <c r="F114" s="13"/>
      <c r="G114" s="12"/>
      <c r="H114" s="12"/>
      <c r="I114" s="200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ht="15.75" customHeight="1">
      <c r="A115" s="12"/>
      <c r="B115" s="12"/>
      <c r="C115" s="12"/>
      <c r="D115" s="12"/>
      <c r="E115" s="13"/>
      <c r="F115" s="13"/>
      <c r="G115" s="12"/>
      <c r="H115" s="12"/>
      <c r="I115" s="200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ht="15.75" customHeight="1">
      <c r="A116" s="12"/>
      <c r="B116" s="12"/>
      <c r="C116" s="12"/>
      <c r="D116" s="12"/>
      <c r="E116" s="13"/>
      <c r="F116" s="13"/>
      <c r="G116" s="12"/>
      <c r="H116" s="12"/>
      <c r="I116" s="200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ht="15.75" customHeight="1">
      <c r="A117" s="12"/>
      <c r="B117" s="12"/>
      <c r="C117" s="12"/>
      <c r="D117" s="12"/>
      <c r="E117" s="13"/>
      <c r="F117" s="13"/>
      <c r="G117" s="12"/>
      <c r="H117" s="12"/>
      <c r="I117" s="200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ht="15.75" customHeight="1">
      <c r="A118" s="12"/>
      <c r="B118" s="12"/>
      <c r="C118" s="12"/>
      <c r="D118" s="12"/>
      <c r="E118" s="13"/>
      <c r="F118" s="13"/>
      <c r="G118" s="12"/>
      <c r="H118" s="12"/>
      <c r="I118" s="200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ht="15.75" customHeight="1">
      <c r="A119" s="12"/>
      <c r="B119" s="12"/>
      <c r="C119" s="12"/>
      <c r="D119" s="12"/>
      <c r="E119" s="13"/>
      <c r="F119" s="13"/>
      <c r="G119" s="12"/>
      <c r="H119" s="12"/>
      <c r="I119" s="200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ht="15.75" customHeight="1">
      <c r="A120" s="12"/>
      <c r="B120" s="12"/>
      <c r="C120" s="12"/>
      <c r="D120" s="12"/>
      <c r="E120" s="13"/>
      <c r="F120" s="13"/>
      <c r="G120" s="12"/>
      <c r="H120" s="12"/>
      <c r="I120" s="200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ht="15.75" customHeight="1">
      <c r="A121" s="12"/>
      <c r="B121" s="12"/>
      <c r="C121" s="12"/>
      <c r="D121" s="12"/>
      <c r="E121" s="13"/>
      <c r="F121" s="13"/>
      <c r="G121" s="12"/>
      <c r="H121" s="12"/>
      <c r="I121" s="200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ht="15.75" customHeight="1">
      <c r="A122" s="12"/>
      <c r="B122" s="12"/>
      <c r="C122" s="12"/>
      <c r="D122" s="12"/>
      <c r="E122" s="13"/>
      <c r="F122" s="13"/>
      <c r="G122" s="12"/>
      <c r="H122" s="12"/>
      <c r="I122" s="200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ht="15.75" customHeight="1">
      <c r="A123" s="12"/>
      <c r="B123" s="12"/>
      <c r="C123" s="12"/>
      <c r="D123" s="12"/>
      <c r="E123" s="13"/>
      <c r="F123" s="13"/>
      <c r="G123" s="12"/>
      <c r="H123" s="12"/>
      <c r="I123" s="200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ht="15.75" customHeight="1">
      <c r="A124" s="12"/>
      <c r="B124" s="12"/>
      <c r="C124" s="12"/>
      <c r="D124" s="12"/>
      <c r="E124" s="13"/>
      <c r="F124" s="13"/>
      <c r="G124" s="12"/>
      <c r="H124" s="12"/>
      <c r="I124" s="200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ht="15.75" customHeight="1">
      <c r="A125" s="12"/>
      <c r="B125" s="12"/>
      <c r="C125" s="12"/>
      <c r="D125" s="12"/>
      <c r="E125" s="13"/>
      <c r="F125" s="13"/>
      <c r="G125" s="12"/>
      <c r="H125" s="12"/>
      <c r="I125" s="200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ht="15.75" customHeight="1">
      <c r="A126" s="12"/>
      <c r="B126" s="12"/>
      <c r="C126" s="12"/>
      <c r="D126" s="12"/>
      <c r="E126" s="13"/>
      <c r="F126" s="13"/>
      <c r="G126" s="12"/>
      <c r="H126" s="12"/>
      <c r="I126" s="200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ht="15.75" customHeight="1">
      <c r="A127" s="12"/>
      <c r="B127" s="12"/>
      <c r="C127" s="12"/>
      <c r="D127" s="12"/>
      <c r="E127" s="13"/>
      <c r="F127" s="13"/>
      <c r="G127" s="12"/>
      <c r="H127" s="12"/>
      <c r="I127" s="200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ht="15.75" customHeight="1">
      <c r="A128" s="12"/>
      <c r="B128" s="12"/>
      <c r="C128" s="12"/>
      <c r="D128" s="12"/>
      <c r="E128" s="13"/>
      <c r="F128" s="13"/>
      <c r="G128" s="12"/>
      <c r="H128" s="12"/>
      <c r="I128" s="200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ht="15.75" customHeight="1">
      <c r="A129" s="12"/>
      <c r="B129" s="12"/>
      <c r="C129" s="12"/>
      <c r="D129" s="12"/>
      <c r="E129" s="13"/>
      <c r="F129" s="13"/>
      <c r="G129" s="12"/>
      <c r="H129" s="12"/>
      <c r="I129" s="200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ht="15.75" customHeight="1">
      <c r="A130" s="12"/>
      <c r="B130" s="12"/>
      <c r="C130" s="12"/>
      <c r="D130" s="12"/>
      <c r="E130" s="13"/>
      <c r="F130" s="13"/>
      <c r="G130" s="12"/>
      <c r="H130" s="12"/>
      <c r="I130" s="200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ht="15.75" customHeight="1">
      <c r="A131" s="12"/>
      <c r="B131" s="12"/>
      <c r="C131" s="12"/>
      <c r="D131" s="12"/>
      <c r="E131" s="13"/>
      <c r="F131" s="13"/>
      <c r="G131" s="12"/>
      <c r="H131" s="12"/>
      <c r="I131" s="200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ht="15.75" customHeight="1">
      <c r="A132" s="12"/>
      <c r="B132" s="12"/>
      <c r="C132" s="12"/>
      <c r="D132" s="12"/>
      <c r="E132" s="13"/>
      <c r="F132" s="13"/>
      <c r="G132" s="12"/>
      <c r="H132" s="12"/>
      <c r="I132" s="200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ht="15.75" customHeight="1">
      <c r="A133" s="12"/>
      <c r="B133" s="12"/>
      <c r="C133" s="12"/>
      <c r="D133" s="12"/>
      <c r="E133" s="13"/>
      <c r="F133" s="13"/>
      <c r="G133" s="12"/>
      <c r="H133" s="12"/>
      <c r="I133" s="200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ht="15.75" customHeight="1">
      <c r="A134" s="12"/>
      <c r="B134" s="12"/>
      <c r="C134" s="12"/>
      <c r="D134" s="12"/>
      <c r="E134" s="13"/>
      <c r="F134" s="13"/>
      <c r="G134" s="12"/>
      <c r="H134" s="12"/>
      <c r="I134" s="200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ht="15.75" customHeight="1">
      <c r="A135" s="12"/>
      <c r="B135" s="12"/>
      <c r="C135" s="12"/>
      <c r="D135" s="12"/>
      <c r="E135" s="13"/>
      <c r="F135" s="13"/>
      <c r="G135" s="12"/>
      <c r="H135" s="12"/>
      <c r="I135" s="200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ht="15.75" customHeight="1">
      <c r="A136" s="12"/>
      <c r="B136" s="12"/>
      <c r="C136" s="12"/>
      <c r="D136" s="12"/>
      <c r="E136" s="13"/>
      <c r="F136" s="13"/>
      <c r="G136" s="12"/>
      <c r="H136" s="12"/>
      <c r="I136" s="200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ht="15.75" customHeight="1">
      <c r="A137" s="12"/>
      <c r="B137" s="12"/>
      <c r="C137" s="12"/>
      <c r="D137" s="12"/>
      <c r="E137" s="13"/>
      <c r="F137" s="13"/>
      <c r="G137" s="12"/>
      <c r="H137" s="12"/>
      <c r="I137" s="200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ht="15.75" customHeight="1">
      <c r="A138" s="12"/>
      <c r="B138" s="12"/>
      <c r="C138" s="12"/>
      <c r="D138" s="12"/>
      <c r="E138" s="13"/>
      <c r="F138" s="13"/>
      <c r="G138" s="12"/>
      <c r="H138" s="12"/>
      <c r="I138" s="200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ht="15.75" customHeight="1">
      <c r="A139" s="12"/>
      <c r="B139" s="12"/>
      <c r="C139" s="12"/>
      <c r="D139" s="12"/>
      <c r="E139" s="13"/>
      <c r="F139" s="13"/>
      <c r="G139" s="12"/>
      <c r="H139" s="12"/>
      <c r="I139" s="200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ht="15.75" customHeight="1">
      <c r="A140" s="12"/>
      <c r="B140" s="12"/>
      <c r="C140" s="12"/>
      <c r="D140" s="12"/>
      <c r="E140" s="13"/>
      <c r="F140" s="13"/>
      <c r="G140" s="12"/>
      <c r="H140" s="12"/>
      <c r="I140" s="200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ht="15.75" customHeight="1">
      <c r="A141" s="12"/>
      <c r="B141" s="12"/>
      <c r="C141" s="12"/>
      <c r="D141" s="12"/>
      <c r="E141" s="13"/>
      <c r="F141" s="13"/>
      <c r="G141" s="12"/>
      <c r="H141" s="12"/>
      <c r="I141" s="200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ht="15.75" customHeight="1">
      <c r="A142" s="12"/>
      <c r="B142" s="12"/>
      <c r="C142" s="12"/>
      <c r="D142" s="12"/>
      <c r="E142" s="13"/>
      <c r="F142" s="13"/>
      <c r="G142" s="12"/>
      <c r="H142" s="12"/>
      <c r="I142" s="200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ht="15.75" customHeight="1">
      <c r="A143" s="12"/>
      <c r="B143" s="12"/>
      <c r="C143" s="12"/>
      <c r="D143" s="12"/>
      <c r="E143" s="13"/>
      <c r="F143" s="13"/>
      <c r="G143" s="12"/>
      <c r="H143" s="12"/>
      <c r="I143" s="200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ht="15.75" customHeight="1">
      <c r="A144" s="12"/>
      <c r="B144" s="12"/>
      <c r="C144" s="12"/>
      <c r="D144" s="12"/>
      <c r="E144" s="13"/>
      <c r="F144" s="13"/>
      <c r="G144" s="12"/>
      <c r="H144" s="12"/>
      <c r="I144" s="200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ht="15.75" customHeight="1">
      <c r="A145" s="12"/>
      <c r="B145" s="12"/>
      <c r="C145" s="12"/>
      <c r="D145" s="12"/>
      <c r="E145" s="13"/>
      <c r="F145" s="13"/>
      <c r="G145" s="12"/>
      <c r="H145" s="12"/>
      <c r="I145" s="200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ht="15.75" customHeight="1">
      <c r="A146" s="12"/>
      <c r="B146" s="12"/>
      <c r="C146" s="12"/>
      <c r="D146" s="12"/>
      <c r="E146" s="13"/>
      <c r="F146" s="13"/>
      <c r="G146" s="12"/>
      <c r="H146" s="12"/>
      <c r="I146" s="200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ht="15.75" customHeight="1">
      <c r="A147" s="12"/>
      <c r="B147" s="12"/>
      <c r="C147" s="12"/>
      <c r="D147" s="12"/>
      <c r="E147" s="13"/>
      <c r="F147" s="13"/>
      <c r="G147" s="12"/>
      <c r="H147" s="12"/>
      <c r="I147" s="200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ht="15.75" customHeight="1">
      <c r="A148" s="12"/>
      <c r="B148" s="12"/>
      <c r="C148" s="12"/>
      <c r="D148" s="12"/>
      <c r="E148" s="13"/>
      <c r="F148" s="13"/>
      <c r="G148" s="12"/>
      <c r="H148" s="12"/>
      <c r="I148" s="200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ht="15.75" customHeight="1">
      <c r="A149" s="12"/>
      <c r="B149" s="12"/>
      <c r="C149" s="12"/>
      <c r="D149" s="12"/>
      <c r="E149" s="13"/>
      <c r="F149" s="13"/>
      <c r="G149" s="12"/>
      <c r="H149" s="12"/>
      <c r="I149" s="200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ht="15.75" customHeight="1">
      <c r="A150" s="12"/>
      <c r="B150" s="12"/>
      <c r="C150" s="12"/>
      <c r="D150" s="12"/>
      <c r="E150" s="13"/>
      <c r="F150" s="13"/>
      <c r="G150" s="12"/>
      <c r="H150" s="12"/>
      <c r="I150" s="200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ht="15.75" customHeight="1">
      <c r="A151" s="12"/>
      <c r="B151" s="12"/>
      <c r="C151" s="12"/>
      <c r="D151" s="12"/>
      <c r="E151" s="13"/>
      <c r="F151" s="13"/>
      <c r="G151" s="12"/>
      <c r="H151" s="12"/>
      <c r="I151" s="200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ht="15.75" customHeight="1">
      <c r="A152" s="12"/>
      <c r="B152" s="12"/>
      <c r="C152" s="12"/>
      <c r="D152" s="12"/>
      <c r="E152" s="13"/>
      <c r="F152" s="13"/>
      <c r="G152" s="12"/>
      <c r="H152" s="12"/>
      <c r="I152" s="200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ht="15.75" customHeight="1">
      <c r="A153" s="12"/>
      <c r="B153" s="12"/>
      <c r="C153" s="12"/>
      <c r="D153" s="12"/>
      <c r="E153" s="13"/>
      <c r="F153" s="13"/>
      <c r="G153" s="12"/>
      <c r="H153" s="12"/>
      <c r="I153" s="200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ht="15.75" customHeight="1">
      <c r="A154" s="12"/>
      <c r="B154" s="12"/>
      <c r="C154" s="12"/>
      <c r="D154" s="12"/>
      <c r="E154" s="13"/>
      <c r="F154" s="13"/>
      <c r="G154" s="12"/>
      <c r="H154" s="12"/>
      <c r="I154" s="200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ht="15.75" customHeight="1">
      <c r="A155" s="12"/>
      <c r="B155" s="12"/>
      <c r="C155" s="12"/>
      <c r="D155" s="12"/>
      <c r="E155" s="13"/>
      <c r="F155" s="13"/>
      <c r="G155" s="12"/>
      <c r="H155" s="12"/>
      <c r="I155" s="200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ht="15.75" customHeight="1">
      <c r="A156" s="12"/>
      <c r="B156" s="12"/>
      <c r="C156" s="12"/>
      <c r="D156" s="12"/>
      <c r="E156" s="13"/>
      <c r="F156" s="13"/>
      <c r="G156" s="12"/>
      <c r="H156" s="12"/>
      <c r="I156" s="200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ht="15.75" customHeight="1">
      <c r="A157" s="12"/>
      <c r="B157" s="12"/>
      <c r="C157" s="12"/>
      <c r="D157" s="12"/>
      <c r="E157" s="13"/>
      <c r="F157" s="13"/>
      <c r="G157" s="12"/>
      <c r="H157" s="12"/>
      <c r="I157" s="200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ht="15.75" customHeight="1">
      <c r="A158" s="12"/>
      <c r="B158" s="12"/>
      <c r="C158" s="12"/>
      <c r="D158" s="12"/>
      <c r="E158" s="13"/>
      <c r="F158" s="13"/>
      <c r="G158" s="12"/>
      <c r="H158" s="12"/>
      <c r="I158" s="200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ht="15.75" customHeight="1">
      <c r="A159" s="12"/>
      <c r="B159" s="12"/>
      <c r="C159" s="12"/>
      <c r="D159" s="12"/>
      <c r="E159" s="13"/>
      <c r="F159" s="13"/>
      <c r="G159" s="12"/>
      <c r="H159" s="12"/>
      <c r="I159" s="200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ht="15.75" customHeight="1">
      <c r="A160" s="12"/>
      <c r="B160" s="12"/>
      <c r="C160" s="12"/>
      <c r="D160" s="12"/>
      <c r="E160" s="13"/>
      <c r="F160" s="13"/>
      <c r="G160" s="12"/>
      <c r="H160" s="12"/>
      <c r="I160" s="200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ht="15.75" customHeight="1">
      <c r="A161" s="12"/>
      <c r="B161" s="12"/>
      <c r="C161" s="12"/>
      <c r="D161" s="12"/>
      <c r="E161" s="13"/>
      <c r="F161" s="13"/>
      <c r="G161" s="12"/>
      <c r="H161" s="12"/>
      <c r="I161" s="200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ht="15.75" customHeight="1">
      <c r="A162" s="12"/>
      <c r="B162" s="12"/>
      <c r="C162" s="12"/>
      <c r="D162" s="12"/>
      <c r="E162" s="13"/>
      <c r="F162" s="13"/>
      <c r="G162" s="12"/>
      <c r="H162" s="12"/>
      <c r="I162" s="200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ht="15.75" customHeight="1">
      <c r="A163" s="12"/>
      <c r="B163" s="12"/>
      <c r="C163" s="12"/>
      <c r="D163" s="12"/>
      <c r="E163" s="13"/>
      <c r="F163" s="13"/>
      <c r="G163" s="12"/>
      <c r="H163" s="12"/>
      <c r="I163" s="200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ht="15.75" customHeight="1">
      <c r="A164" s="12"/>
      <c r="B164" s="12"/>
      <c r="C164" s="12"/>
      <c r="D164" s="12"/>
      <c r="E164" s="13"/>
      <c r="F164" s="13"/>
      <c r="G164" s="12"/>
      <c r="H164" s="12"/>
      <c r="I164" s="200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ht="15.75" customHeight="1">
      <c r="A165" s="12"/>
      <c r="B165" s="12"/>
      <c r="C165" s="12"/>
      <c r="D165" s="12"/>
      <c r="E165" s="13"/>
      <c r="F165" s="13"/>
      <c r="G165" s="12"/>
      <c r="H165" s="12"/>
      <c r="I165" s="200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ht="15.75" customHeight="1">
      <c r="A166" s="12"/>
      <c r="B166" s="12"/>
      <c r="C166" s="12"/>
      <c r="D166" s="12"/>
      <c r="E166" s="13"/>
      <c r="F166" s="13"/>
      <c r="G166" s="12"/>
      <c r="H166" s="12"/>
      <c r="I166" s="200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ht="15.75" customHeight="1">
      <c r="A167" s="12"/>
      <c r="B167" s="12"/>
      <c r="C167" s="12"/>
      <c r="D167" s="12"/>
      <c r="E167" s="13"/>
      <c r="F167" s="13"/>
      <c r="G167" s="12"/>
      <c r="H167" s="12"/>
      <c r="I167" s="200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ht="15.75" customHeight="1">
      <c r="A168" s="12"/>
      <c r="B168" s="12"/>
      <c r="C168" s="12"/>
      <c r="D168" s="12"/>
      <c r="E168" s="13"/>
      <c r="F168" s="13"/>
      <c r="G168" s="12"/>
      <c r="H168" s="12"/>
      <c r="I168" s="200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ht="15.75" customHeight="1">
      <c r="A169" s="12"/>
      <c r="B169" s="12"/>
      <c r="C169" s="12"/>
      <c r="D169" s="12"/>
      <c r="E169" s="13"/>
      <c r="F169" s="13"/>
      <c r="G169" s="12"/>
      <c r="H169" s="12"/>
      <c r="I169" s="200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ht="15.75" customHeight="1">
      <c r="A170" s="12"/>
      <c r="B170" s="12"/>
      <c r="C170" s="12"/>
      <c r="D170" s="12"/>
      <c r="E170" s="13"/>
      <c r="F170" s="13"/>
      <c r="G170" s="12"/>
      <c r="H170" s="12"/>
      <c r="I170" s="200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ht="15.75" customHeight="1">
      <c r="A171" s="12"/>
      <c r="B171" s="12"/>
      <c r="C171" s="12"/>
      <c r="D171" s="12"/>
      <c r="E171" s="13"/>
      <c r="F171" s="13"/>
      <c r="G171" s="12"/>
      <c r="H171" s="12"/>
      <c r="I171" s="200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ht="15.75" customHeight="1">
      <c r="A172" s="12"/>
      <c r="B172" s="12"/>
      <c r="C172" s="12"/>
      <c r="D172" s="12"/>
      <c r="E172" s="13"/>
      <c r="F172" s="13"/>
      <c r="G172" s="12"/>
      <c r="H172" s="12"/>
      <c r="I172" s="200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ht="15.75" customHeight="1">
      <c r="A173" s="12"/>
      <c r="B173" s="12"/>
      <c r="C173" s="12"/>
      <c r="D173" s="12"/>
      <c r="E173" s="13"/>
      <c r="F173" s="13"/>
      <c r="G173" s="12"/>
      <c r="H173" s="12"/>
      <c r="I173" s="200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ht="15.75" customHeight="1">
      <c r="A174" s="12"/>
      <c r="B174" s="12"/>
      <c r="C174" s="12"/>
      <c r="D174" s="12"/>
      <c r="E174" s="13"/>
      <c r="F174" s="13"/>
      <c r="G174" s="12"/>
      <c r="H174" s="12"/>
      <c r="I174" s="200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ht="15.75" customHeight="1">
      <c r="A175" s="12"/>
      <c r="B175" s="12"/>
      <c r="C175" s="12"/>
      <c r="D175" s="12"/>
      <c r="E175" s="13"/>
      <c r="F175" s="13"/>
      <c r="G175" s="12"/>
      <c r="H175" s="12"/>
      <c r="I175" s="200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ht="15.75" customHeight="1">
      <c r="A176" s="12"/>
      <c r="B176" s="12"/>
      <c r="C176" s="12"/>
      <c r="D176" s="12"/>
      <c r="E176" s="13"/>
      <c r="F176" s="13"/>
      <c r="G176" s="12"/>
      <c r="H176" s="12"/>
      <c r="I176" s="200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ht="15.75" customHeight="1">
      <c r="A177" s="12"/>
      <c r="B177" s="12"/>
      <c r="C177" s="12"/>
      <c r="D177" s="12"/>
      <c r="E177" s="13"/>
      <c r="F177" s="13"/>
      <c r="G177" s="12"/>
      <c r="H177" s="12"/>
      <c r="I177" s="200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ht="15.75" customHeight="1">
      <c r="A178" s="12"/>
      <c r="B178" s="12"/>
      <c r="C178" s="12"/>
      <c r="D178" s="12"/>
      <c r="E178" s="13"/>
      <c r="F178" s="13"/>
      <c r="G178" s="12"/>
      <c r="H178" s="12"/>
      <c r="I178" s="200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ht="15.75" customHeight="1">
      <c r="A179" s="12"/>
      <c r="B179" s="12"/>
      <c r="C179" s="12"/>
      <c r="D179" s="12"/>
      <c r="E179" s="13"/>
      <c r="F179" s="13"/>
      <c r="G179" s="12"/>
      <c r="H179" s="12"/>
      <c r="I179" s="200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ht="15.75" customHeight="1">
      <c r="A180" s="12"/>
      <c r="B180" s="12"/>
      <c r="C180" s="12"/>
      <c r="D180" s="12"/>
      <c r="E180" s="13"/>
      <c r="F180" s="13"/>
      <c r="G180" s="12"/>
      <c r="H180" s="12"/>
      <c r="I180" s="200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ht="15.75" customHeight="1">
      <c r="A181" s="12"/>
      <c r="B181" s="12"/>
      <c r="C181" s="12"/>
      <c r="D181" s="12"/>
      <c r="E181" s="13"/>
      <c r="F181" s="13"/>
      <c r="G181" s="12"/>
      <c r="H181" s="12"/>
      <c r="I181" s="200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ht="15.75" customHeight="1">
      <c r="A182" s="12"/>
      <c r="B182" s="12"/>
      <c r="C182" s="12"/>
      <c r="D182" s="12"/>
      <c r="E182" s="13"/>
      <c r="F182" s="13"/>
      <c r="G182" s="12"/>
      <c r="H182" s="12"/>
      <c r="I182" s="200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ht="15.75" customHeight="1">
      <c r="A183" s="12"/>
      <c r="B183" s="12"/>
      <c r="C183" s="12"/>
      <c r="D183" s="12"/>
      <c r="E183" s="13"/>
      <c r="F183" s="13"/>
      <c r="G183" s="12"/>
      <c r="H183" s="12"/>
      <c r="I183" s="200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ht="15.75" customHeight="1">
      <c r="A184" s="12"/>
      <c r="B184" s="12"/>
      <c r="C184" s="12"/>
      <c r="D184" s="12"/>
      <c r="E184" s="13"/>
      <c r="F184" s="13"/>
      <c r="G184" s="12"/>
      <c r="H184" s="12"/>
      <c r="I184" s="200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ht="15.75" customHeight="1">
      <c r="A185" s="12"/>
      <c r="B185" s="12"/>
      <c r="C185" s="12"/>
      <c r="D185" s="12"/>
      <c r="E185" s="13"/>
      <c r="F185" s="13"/>
      <c r="G185" s="12"/>
      <c r="H185" s="12"/>
      <c r="I185" s="200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ht="15.75" customHeight="1">
      <c r="A186" s="12"/>
      <c r="B186" s="12"/>
      <c r="C186" s="12"/>
      <c r="D186" s="12"/>
      <c r="E186" s="13"/>
      <c r="F186" s="13"/>
      <c r="G186" s="12"/>
      <c r="H186" s="12"/>
      <c r="I186" s="200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ht="15.75" customHeight="1">
      <c r="A187" s="12"/>
      <c r="B187" s="12"/>
      <c r="C187" s="12"/>
      <c r="D187" s="12"/>
      <c r="E187" s="13"/>
      <c r="F187" s="13"/>
      <c r="G187" s="12"/>
      <c r="H187" s="12"/>
      <c r="I187" s="200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ht="15.75" customHeight="1">
      <c r="A188" s="12"/>
      <c r="B188" s="12"/>
      <c r="C188" s="12"/>
      <c r="D188" s="12"/>
      <c r="E188" s="13"/>
      <c r="F188" s="13"/>
      <c r="G188" s="12"/>
      <c r="H188" s="12"/>
      <c r="I188" s="200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ht="15.75" customHeight="1">
      <c r="A189" s="12"/>
      <c r="B189" s="12"/>
      <c r="C189" s="12"/>
      <c r="D189" s="12"/>
      <c r="E189" s="13"/>
      <c r="F189" s="13"/>
      <c r="G189" s="12"/>
      <c r="H189" s="12"/>
      <c r="I189" s="200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ht="15.75" customHeight="1">
      <c r="A190" s="12"/>
      <c r="B190" s="12"/>
      <c r="C190" s="12"/>
      <c r="D190" s="12"/>
      <c r="E190" s="13"/>
      <c r="F190" s="13"/>
      <c r="G190" s="12"/>
      <c r="H190" s="12"/>
      <c r="I190" s="200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ht="15.75" customHeight="1">
      <c r="A191" s="12"/>
      <c r="B191" s="12"/>
      <c r="C191" s="12"/>
      <c r="D191" s="12"/>
      <c r="E191" s="13"/>
      <c r="F191" s="13"/>
      <c r="G191" s="12"/>
      <c r="H191" s="12"/>
      <c r="I191" s="200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ht="15.75" customHeight="1">
      <c r="A192" s="12"/>
      <c r="B192" s="12"/>
      <c r="C192" s="12"/>
      <c r="D192" s="12"/>
      <c r="E192" s="13"/>
      <c r="F192" s="13"/>
      <c r="G192" s="12"/>
      <c r="H192" s="12"/>
      <c r="I192" s="200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ht="15.75" customHeight="1">
      <c r="A193" s="12"/>
      <c r="B193" s="12"/>
      <c r="C193" s="12"/>
      <c r="D193" s="12"/>
      <c r="E193" s="13"/>
      <c r="F193" s="13"/>
      <c r="G193" s="12"/>
      <c r="H193" s="12"/>
      <c r="I193" s="200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ht="15.75" customHeight="1">
      <c r="A194" s="12"/>
      <c r="B194" s="12"/>
      <c r="C194" s="12"/>
      <c r="D194" s="12"/>
      <c r="E194" s="13"/>
      <c r="F194" s="13"/>
      <c r="G194" s="12"/>
      <c r="H194" s="12"/>
      <c r="I194" s="200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ht="15.75" customHeight="1">
      <c r="A195" s="12"/>
      <c r="B195" s="12"/>
      <c r="C195" s="12"/>
      <c r="D195" s="12"/>
      <c r="E195" s="13"/>
      <c r="F195" s="13"/>
      <c r="G195" s="12"/>
      <c r="H195" s="12"/>
      <c r="I195" s="200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ht="15.75" customHeight="1">
      <c r="A196" s="12"/>
      <c r="B196" s="12"/>
      <c r="C196" s="12"/>
      <c r="D196" s="12"/>
      <c r="E196" s="13"/>
      <c r="F196" s="13"/>
      <c r="G196" s="12"/>
      <c r="H196" s="12"/>
      <c r="I196" s="200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ht="15.75" customHeight="1">
      <c r="A197" s="12"/>
      <c r="B197" s="12"/>
      <c r="C197" s="12"/>
      <c r="D197" s="12"/>
      <c r="E197" s="13"/>
      <c r="F197" s="13"/>
      <c r="G197" s="12"/>
      <c r="H197" s="12"/>
      <c r="I197" s="200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ht="15.75" customHeight="1">
      <c r="A198" s="12"/>
      <c r="B198" s="12"/>
      <c r="C198" s="12"/>
      <c r="D198" s="12"/>
      <c r="E198" s="13"/>
      <c r="F198" s="13"/>
      <c r="G198" s="12"/>
      <c r="H198" s="12"/>
      <c r="I198" s="200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ht="15.75" customHeight="1">
      <c r="A199" s="12"/>
      <c r="B199" s="12"/>
      <c r="C199" s="12"/>
      <c r="D199" s="12"/>
      <c r="E199" s="13"/>
      <c r="F199" s="13"/>
      <c r="G199" s="12"/>
      <c r="H199" s="12"/>
      <c r="I199" s="200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ht="15.75" customHeight="1">
      <c r="A200" s="12"/>
      <c r="B200" s="12"/>
      <c r="C200" s="12"/>
      <c r="D200" s="12"/>
      <c r="E200" s="13"/>
      <c r="F200" s="13"/>
      <c r="G200" s="12"/>
      <c r="H200" s="12"/>
      <c r="I200" s="200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ht="15.75" customHeight="1">
      <c r="A201" s="12"/>
      <c r="B201" s="12"/>
      <c r="C201" s="12"/>
      <c r="D201" s="12"/>
      <c r="E201" s="13"/>
      <c r="F201" s="13"/>
      <c r="G201" s="12"/>
      <c r="H201" s="12"/>
      <c r="I201" s="200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ht="15.75" customHeight="1">
      <c r="A202" s="12"/>
      <c r="B202" s="12"/>
      <c r="C202" s="12"/>
      <c r="D202" s="12"/>
      <c r="E202" s="13"/>
      <c r="F202" s="13"/>
      <c r="G202" s="12"/>
      <c r="H202" s="12"/>
      <c r="I202" s="200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ht="15.75" customHeight="1">
      <c r="A203" s="12"/>
      <c r="B203" s="12"/>
      <c r="C203" s="12"/>
      <c r="D203" s="12"/>
      <c r="E203" s="13"/>
      <c r="F203" s="13"/>
      <c r="G203" s="12"/>
      <c r="H203" s="12"/>
      <c r="I203" s="200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ht="15.75" customHeight="1">
      <c r="A204" s="12"/>
      <c r="B204" s="12"/>
      <c r="C204" s="12"/>
      <c r="D204" s="12"/>
      <c r="E204" s="13"/>
      <c r="F204" s="13"/>
      <c r="G204" s="12"/>
      <c r="H204" s="12"/>
      <c r="I204" s="200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ht="15.75" customHeight="1">
      <c r="A205" s="12"/>
      <c r="B205" s="12"/>
      <c r="C205" s="12"/>
      <c r="D205" s="12"/>
      <c r="E205" s="13"/>
      <c r="F205" s="13"/>
      <c r="G205" s="12"/>
      <c r="H205" s="12"/>
      <c r="I205" s="200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ht="15.75" customHeight="1">
      <c r="A206" s="12"/>
      <c r="B206" s="12"/>
      <c r="C206" s="12"/>
      <c r="D206" s="12"/>
      <c r="E206" s="13"/>
      <c r="F206" s="13"/>
      <c r="G206" s="12"/>
      <c r="H206" s="12"/>
      <c r="I206" s="200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ht="15.75" customHeight="1">
      <c r="A207" s="12"/>
      <c r="B207" s="12"/>
      <c r="C207" s="12"/>
      <c r="D207" s="12"/>
      <c r="E207" s="13"/>
      <c r="F207" s="13"/>
      <c r="G207" s="12"/>
      <c r="H207" s="12"/>
      <c r="I207" s="200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ht="15.75" customHeight="1">
      <c r="A208" s="12"/>
      <c r="B208" s="12"/>
      <c r="C208" s="12"/>
      <c r="D208" s="12"/>
      <c r="E208" s="13"/>
      <c r="F208" s="13"/>
      <c r="G208" s="12"/>
      <c r="H208" s="12"/>
      <c r="I208" s="200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ht="15.75" customHeight="1">
      <c r="A209" s="12"/>
      <c r="B209" s="12"/>
      <c r="C209" s="12"/>
      <c r="D209" s="12"/>
      <c r="E209" s="13"/>
      <c r="F209" s="13"/>
      <c r="G209" s="12"/>
      <c r="H209" s="12"/>
      <c r="I209" s="200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ht="15.75" customHeight="1">
      <c r="A210" s="12"/>
      <c r="B210" s="12"/>
      <c r="C210" s="12"/>
      <c r="D210" s="12"/>
      <c r="E210" s="13"/>
      <c r="F210" s="13"/>
      <c r="G210" s="12"/>
      <c r="H210" s="12"/>
      <c r="I210" s="200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ht="15.75" customHeight="1">
      <c r="A211" s="12"/>
      <c r="B211" s="12"/>
      <c r="C211" s="12"/>
      <c r="D211" s="12"/>
      <c r="E211" s="13"/>
      <c r="F211" s="13"/>
      <c r="G211" s="12"/>
      <c r="H211" s="12"/>
      <c r="I211" s="200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ht="15.75" customHeight="1">
      <c r="A212" s="12"/>
      <c r="B212" s="12"/>
      <c r="C212" s="12"/>
      <c r="D212" s="12"/>
      <c r="E212" s="13"/>
      <c r="F212" s="13"/>
      <c r="G212" s="12"/>
      <c r="H212" s="12"/>
      <c r="I212" s="200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ht="15.75" customHeight="1">
      <c r="A213" s="12"/>
      <c r="B213" s="12"/>
      <c r="C213" s="12"/>
      <c r="D213" s="12"/>
      <c r="E213" s="13"/>
      <c r="F213" s="13"/>
      <c r="G213" s="12"/>
      <c r="H213" s="12"/>
      <c r="I213" s="200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ht="15.75" customHeight="1">
      <c r="A214" s="12"/>
      <c r="B214" s="12"/>
      <c r="C214" s="12"/>
      <c r="D214" s="12"/>
      <c r="E214" s="13"/>
      <c r="F214" s="13"/>
      <c r="G214" s="12"/>
      <c r="H214" s="12"/>
      <c r="I214" s="200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ht="15.75" customHeight="1">
      <c r="A215" s="12"/>
      <c r="B215" s="12"/>
      <c r="C215" s="12"/>
      <c r="D215" s="12"/>
      <c r="E215" s="13"/>
      <c r="F215" s="13"/>
      <c r="G215" s="12"/>
      <c r="H215" s="12"/>
      <c r="I215" s="200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ht="15.75" customHeight="1">
      <c r="A216" s="12"/>
      <c r="B216" s="12"/>
      <c r="C216" s="12"/>
      <c r="D216" s="12"/>
      <c r="E216" s="13"/>
      <c r="F216" s="13"/>
      <c r="G216" s="12"/>
      <c r="H216" s="12"/>
      <c r="I216" s="200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ht="15.75" customHeight="1">
      <c r="A217" s="12"/>
      <c r="B217" s="12"/>
      <c r="C217" s="12"/>
      <c r="D217" s="12"/>
      <c r="E217" s="13"/>
      <c r="F217" s="13"/>
      <c r="G217" s="12"/>
      <c r="H217" s="12"/>
      <c r="I217" s="200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ht="15.75" customHeight="1">
      <c r="A218" s="12"/>
      <c r="B218" s="12"/>
      <c r="C218" s="12"/>
      <c r="D218" s="12"/>
      <c r="E218" s="13"/>
      <c r="F218" s="13"/>
      <c r="G218" s="12"/>
      <c r="H218" s="12"/>
      <c r="I218" s="200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ht="15.75" customHeight="1">
      <c r="A219" s="12"/>
      <c r="B219" s="12"/>
      <c r="C219" s="12"/>
      <c r="D219" s="12"/>
      <c r="E219" s="13"/>
      <c r="F219" s="13"/>
      <c r="G219" s="12"/>
      <c r="H219" s="12"/>
      <c r="I219" s="200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ht="15.75" customHeight="1">
      <c r="A220" s="12"/>
      <c r="B220" s="12"/>
      <c r="C220" s="12"/>
      <c r="D220" s="12"/>
      <c r="E220" s="13"/>
      <c r="F220" s="13"/>
      <c r="G220" s="12"/>
      <c r="H220" s="12"/>
      <c r="I220" s="200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ht="15.75" customHeight="1">
      <c r="A221" s="12"/>
      <c r="B221" s="12"/>
      <c r="C221" s="12"/>
      <c r="D221" s="12"/>
      <c r="E221" s="13"/>
      <c r="F221" s="13"/>
      <c r="G221" s="12"/>
      <c r="H221" s="12"/>
      <c r="I221" s="200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ht="15.75" customHeight="1">
      <c r="A222" s="12"/>
      <c r="B222" s="12"/>
      <c r="C222" s="12"/>
      <c r="D222" s="12"/>
      <c r="E222" s="13"/>
      <c r="F222" s="13"/>
      <c r="G222" s="12"/>
      <c r="H222" s="12"/>
      <c r="I222" s="200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ht="15.75" customHeight="1">
      <c r="A223" s="12"/>
      <c r="B223" s="12"/>
      <c r="C223" s="12"/>
      <c r="D223" s="12"/>
      <c r="E223" s="13"/>
      <c r="F223" s="13"/>
      <c r="G223" s="12"/>
      <c r="H223" s="12"/>
      <c r="I223" s="200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ht="15.75" customHeight="1">
      <c r="A224" s="12"/>
      <c r="B224" s="12"/>
      <c r="C224" s="12"/>
      <c r="D224" s="12"/>
      <c r="E224" s="13"/>
      <c r="F224" s="13"/>
      <c r="G224" s="12"/>
      <c r="H224" s="12"/>
      <c r="I224" s="200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ht="15.75" customHeight="1">
      <c r="A225" s="12"/>
      <c r="B225" s="12"/>
      <c r="C225" s="12"/>
      <c r="D225" s="12"/>
      <c r="E225" s="13"/>
      <c r="F225" s="13"/>
      <c r="G225" s="12"/>
      <c r="H225" s="12"/>
      <c r="I225" s="200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ht="15.75" customHeight="1">
      <c r="A226" s="12"/>
      <c r="B226" s="12"/>
      <c r="C226" s="12"/>
      <c r="D226" s="12"/>
      <c r="E226" s="13"/>
      <c r="F226" s="13"/>
      <c r="G226" s="12"/>
      <c r="H226" s="12"/>
      <c r="I226" s="200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ht="15.75" customHeight="1">
      <c r="A227" s="12"/>
      <c r="B227" s="12"/>
      <c r="C227" s="12"/>
      <c r="D227" s="12"/>
      <c r="E227" s="13"/>
      <c r="F227" s="13"/>
      <c r="G227" s="12"/>
      <c r="H227" s="12"/>
      <c r="I227" s="200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ht="15.75" customHeight="1">
      <c r="A228" s="12"/>
      <c r="B228" s="12"/>
      <c r="C228" s="12"/>
      <c r="D228" s="12"/>
      <c r="E228" s="13"/>
      <c r="F228" s="13"/>
      <c r="G228" s="12"/>
      <c r="H228" s="12"/>
      <c r="I228" s="200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ht="15.75" customHeight="1">
      <c r="A229" s="12"/>
      <c r="B229" s="12"/>
      <c r="C229" s="12"/>
      <c r="D229" s="12"/>
      <c r="E229" s="13"/>
      <c r="F229" s="13"/>
      <c r="G229" s="12"/>
      <c r="H229" s="12"/>
      <c r="I229" s="200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ht="15.75" customHeight="1">
      <c r="A230" s="12"/>
      <c r="B230" s="12"/>
      <c r="C230" s="12"/>
      <c r="D230" s="12"/>
      <c r="E230" s="13"/>
      <c r="F230" s="13"/>
      <c r="G230" s="12"/>
      <c r="H230" s="12"/>
      <c r="I230" s="200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ht="15.75" customHeight="1">
      <c r="A231" s="12"/>
      <c r="B231" s="12"/>
      <c r="C231" s="12"/>
      <c r="D231" s="12"/>
      <c r="E231" s="13"/>
      <c r="F231" s="13"/>
      <c r="G231" s="12"/>
      <c r="H231" s="12"/>
      <c r="I231" s="200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ht="15.75" customHeight="1">
      <c r="A232" s="12"/>
      <c r="B232" s="12"/>
      <c r="C232" s="12"/>
      <c r="D232" s="12"/>
      <c r="E232" s="13"/>
      <c r="F232" s="13"/>
      <c r="G232" s="12"/>
      <c r="H232" s="12"/>
      <c r="I232" s="200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ht="15.75" customHeight="1">
      <c r="A233" s="12"/>
      <c r="B233" s="12"/>
      <c r="C233" s="12"/>
      <c r="D233" s="12"/>
      <c r="E233" s="13"/>
      <c r="F233" s="13"/>
      <c r="G233" s="12"/>
      <c r="H233" s="12"/>
      <c r="I233" s="200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ht="15.75" customHeight="1">
      <c r="A234" s="12"/>
      <c r="B234" s="12"/>
      <c r="C234" s="12"/>
      <c r="D234" s="12"/>
      <c r="E234" s="13"/>
      <c r="F234" s="13"/>
      <c r="G234" s="12"/>
      <c r="H234" s="12"/>
      <c r="I234" s="200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ht="15.75" customHeight="1">
      <c r="A235" s="12"/>
      <c r="B235" s="12"/>
      <c r="C235" s="12"/>
      <c r="D235" s="12"/>
      <c r="E235" s="13"/>
      <c r="F235" s="13"/>
      <c r="G235" s="12"/>
      <c r="H235" s="12"/>
      <c r="I235" s="200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ht="15.75" customHeight="1">
      <c r="A236" s="12"/>
      <c r="B236" s="12"/>
      <c r="C236" s="12"/>
      <c r="D236" s="12"/>
      <c r="E236" s="13"/>
      <c r="F236" s="13"/>
      <c r="G236" s="12"/>
      <c r="H236" s="12"/>
      <c r="I236" s="200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ht="15.75" customHeight="1">
      <c r="A237" s="12"/>
      <c r="B237" s="12"/>
      <c r="C237" s="12"/>
      <c r="D237" s="12"/>
      <c r="E237" s="13"/>
      <c r="F237" s="13"/>
      <c r="G237" s="12"/>
      <c r="H237" s="12"/>
      <c r="I237" s="200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ht="15.75" customHeight="1">
      <c r="A238" s="12"/>
      <c r="B238" s="12"/>
      <c r="C238" s="12"/>
      <c r="D238" s="12"/>
      <c r="E238" s="13"/>
      <c r="F238" s="13"/>
      <c r="G238" s="12"/>
      <c r="H238" s="12"/>
      <c r="I238" s="200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ht="15.75" customHeight="1">
      <c r="A239" s="12"/>
      <c r="B239" s="12"/>
      <c r="C239" s="12"/>
      <c r="D239" s="12"/>
      <c r="E239" s="13"/>
      <c r="F239" s="13"/>
      <c r="G239" s="12"/>
      <c r="H239" s="12"/>
      <c r="I239" s="200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ht="15.75" customHeight="1">
      <c r="A240" s="12"/>
      <c r="B240" s="12"/>
      <c r="C240" s="12"/>
      <c r="D240" s="12"/>
      <c r="E240" s="13"/>
      <c r="F240" s="13"/>
      <c r="G240" s="12"/>
      <c r="H240" s="12"/>
      <c r="I240" s="200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ht="15.75" customHeight="1">
      <c r="A241" s="12"/>
      <c r="B241" s="12"/>
      <c r="C241" s="12"/>
      <c r="D241" s="12"/>
      <c r="E241" s="13"/>
      <c r="F241" s="13"/>
      <c r="G241" s="12"/>
      <c r="H241" s="12"/>
      <c r="I241" s="200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ht="15.75" customHeight="1">
      <c r="A242" s="12"/>
      <c r="B242" s="12"/>
      <c r="C242" s="12"/>
      <c r="D242" s="12"/>
      <c r="E242" s="13"/>
      <c r="F242" s="13"/>
      <c r="G242" s="12"/>
      <c r="H242" s="12"/>
      <c r="I242" s="200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ht="15.75" customHeight="1">
      <c r="A243" s="12"/>
      <c r="B243" s="12"/>
      <c r="C243" s="12"/>
      <c r="D243" s="12"/>
      <c r="E243" s="13"/>
      <c r="F243" s="13"/>
      <c r="G243" s="12"/>
      <c r="H243" s="12"/>
      <c r="I243" s="200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ht="15.75" customHeight="1">
      <c r="A244" s="12"/>
      <c r="B244" s="12"/>
      <c r="C244" s="12"/>
      <c r="D244" s="12"/>
      <c r="E244" s="13"/>
      <c r="F244" s="13"/>
      <c r="G244" s="12"/>
      <c r="H244" s="12"/>
      <c r="I244" s="200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ht="15.75" customHeight="1">
      <c r="A245" s="12"/>
      <c r="B245" s="12"/>
      <c r="C245" s="12"/>
      <c r="D245" s="12"/>
      <c r="E245" s="13"/>
      <c r="F245" s="13"/>
      <c r="G245" s="12"/>
      <c r="H245" s="12"/>
      <c r="I245" s="200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ht="15.75" customHeight="1">
      <c r="A246" s="12"/>
      <c r="B246" s="12"/>
      <c r="C246" s="12"/>
      <c r="D246" s="12"/>
      <c r="E246" s="13"/>
      <c r="F246" s="13"/>
      <c r="G246" s="12"/>
      <c r="H246" s="12"/>
      <c r="I246" s="200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ht="15.75" customHeight="1">
      <c r="A247" s="12"/>
      <c r="B247" s="12"/>
      <c r="C247" s="12"/>
      <c r="D247" s="12"/>
      <c r="E247" s="13"/>
      <c r="F247" s="13"/>
      <c r="G247" s="12"/>
      <c r="H247" s="12"/>
      <c r="I247" s="200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ht="15.75" customHeight="1">
      <c r="A248" s="12"/>
      <c r="B248" s="12"/>
      <c r="C248" s="12"/>
      <c r="D248" s="12"/>
      <c r="E248" s="13"/>
      <c r="F248" s="13"/>
      <c r="G248" s="12"/>
      <c r="H248" s="12"/>
      <c r="I248" s="200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ht="15.75" customHeight="1">
      <c r="A249" s="12"/>
      <c r="B249" s="12"/>
      <c r="C249" s="12"/>
      <c r="D249" s="12"/>
      <c r="E249" s="13"/>
      <c r="F249" s="13"/>
      <c r="G249" s="12"/>
      <c r="H249" s="12"/>
      <c r="I249" s="200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ht="15.75" customHeight="1">
      <c r="A250" s="12"/>
      <c r="B250" s="12"/>
      <c r="C250" s="12"/>
      <c r="D250" s="12"/>
      <c r="E250" s="13"/>
      <c r="F250" s="13"/>
      <c r="G250" s="12"/>
      <c r="H250" s="12"/>
      <c r="I250" s="200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ht="15.75" customHeight="1">
      <c r="A251" s="12"/>
      <c r="B251" s="12"/>
      <c r="C251" s="12"/>
      <c r="D251" s="12"/>
      <c r="E251" s="13"/>
      <c r="F251" s="13"/>
      <c r="G251" s="12"/>
      <c r="H251" s="12"/>
      <c r="I251" s="200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ht="15.75" customHeight="1">
      <c r="A252" s="12"/>
      <c r="B252" s="12"/>
      <c r="C252" s="12"/>
      <c r="D252" s="12"/>
      <c r="E252" s="13"/>
      <c r="F252" s="13"/>
      <c r="G252" s="12"/>
      <c r="H252" s="12"/>
      <c r="I252" s="200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ht="15.75" customHeight="1">
      <c r="A253" s="12"/>
      <c r="B253" s="12"/>
      <c r="C253" s="12"/>
      <c r="D253" s="12"/>
      <c r="E253" s="13"/>
      <c r="F253" s="13"/>
      <c r="G253" s="12"/>
      <c r="H253" s="12"/>
      <c r="I253" s="200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ht="15.75" customHeight="1">
      <c r="A254" s="12"/>
      <c r="B254" s="12"/>
      <c r="C254" s="12"/>
      <c r="D254" s="12"/>
      <c r="E254" s="13"/>
      <c r="F254" s="13"/>
      <c r="G254" s="12"/>
      <c r="H254" s="12"/>
      <c r="I254" s="200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ht="15.75" customHeight="1">
      <c r="A255" s="12"/>
      <c r="B255" s="12"/>
      <c r="C255" s="12"/>
      <c r="D255" s="12"/>
      <c r="E255" s="13"/>
      <c r="F255" s="13"/>
      <c r="G255" s="12"/>
      <c r="H255" s="12"/>
      <c r="I255" s="200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ht="15.75" customHeight="1">
      <c r="A256" s="12"/>
      <c r="B256" s="12"/>
      <c r="C256" s="12"/>
      <c r="D256" s="12"/>
      <c r="E256" s="13"/>
      <c r="F256" s="13"/>
      <c r="G256" s="12"/>
      <c r="H256" s="12"/>
      <c r="I256" s="200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ht="15.75" customHeight="1">
      <c r="A257" s="12"/>
      <c r="B257" s="12"/>
      <c r="C257" s="12"/>
      <c r="D257" s="12"/>
      <c r="E257" s="13"/>
      <c r="F257" s="13"/>
      <c r="G257" s="12"/>
      <c r="H257" s="12"/>
      <c r="I257" s="200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ht="15.75" customHeight="1">
      <c r="A258" s="12"/>
      <c r="B258" s="12"/>
      <c r="C258" s="12"/>
      <c r="D258" s="12"/>
      <c r="E258" s="13"/>
      <c r="F258" s="13"/>
      <c r="G258" s="12"/>
      <c r="H258" s="12"/>
      <c r="I258" s="200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ht="15.75" customHeight="1">
      <c r="A259" s="12"/>
      <c r="B259" s="12"/>
      <c r="C259" s="12"/>
      <c r="D259" s="12"/>
      <c r="E259" s="13"/>
      <c r="F259" s="13"/>
      <c r="G259" s="12"/>
      <c r="H259" s="12"/>
      <c r="I259" s="200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ht="15.75" customHeight="1">
      <c r="A260" s="12"/>
      <c r="B260" s="12"/>
      <c r="C260" s="12"/>
      <c r="D260" s="12"/>
      <c r="E260" s="13"/>
      <c r="F260" s="13"/>
      <c r="G260" s="12"/>
      <c r="H260" s="12"/>
      <c r="I260" s="200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ht="15.75" customHeight="1">
      <c r="A261" s="12"/>
      <c r="B261" s="12"/>
      <c r="C261" s="12"/>
      <c r="D261" s="12"/>
      <c r="E261" s="13"/>
      <c r="F261" s="13"/>
      <c r="G261" s="12"/>
      <c r="H261" s="12"/>
      <c r="I261" s="200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ht="15.75" customHeight="1">
      <c r="A262" s="12"/>
      <c r="B262" s="12"/>
      <c r="C262" s="12"/>
      <c r="D262" s="12"/>
      <c r="E262" s="13"/>
      <c r="F262" s="13"/>
      <c r="G262" s="12"/>
      <c r="H262" s="12"/>
      <c r="I262" s="200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ht="15.75" customHeight="1">
      <c r="A263" s="12"/>
      <c r="B263" s="12"/>
      <c r="C263" s="12"/>
      <c r="D263" s="12"/>
      <c r="E263" s="13"/>
      <c r="F263" s="13"/>
      <c r="G263" s="12"/>
      <c r="H263" s="12"/>
      <c r="I263" s="200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ht="15.75" customHeight="1">
      <c r="A264" s="12"/>
      <c r="B264" s="12"/>
      <c r="C264" s="12"/>
      <c r="D264" s="12"/>
      <c r="E264" s="13"/>
      <c r="F264" s="13"/>
      <c r="G264" s="12"/>
      <c r="H264" s="12"/>
      <c r="I264" s="200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ht="15.75" customHeight="1">
      <c r="A265" s="12"/>
      <c r="B265" s="12"/>
      <c r="C265" s="12"/>
      <c r="D265" s="12"/>
      <c r="E265" s="13"/>
      <c r="F265" s="13"/>
      <c r="G265" s="12"/>
      <c r="H265" s="12"/>
      <c r="I265" s="200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ht="15.75" customHeight="1">
      <c r="A266" s="12"/>
      <c r="B266" s="12"/>
      <c r="C266" s="12"/>
      <c r="D266" s="12"/>
      <c r="E266" s="13"/>
      <c r="F266" s="13"/>
      <c r="G266" s="12"/>
      <c r="H266" s="12"/>
      <c r="I266" s="200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ht="15.75" customHeight="1">
      <c r="A267" s="12"/>
      <c r="B267" s="12"/>
      <c r="C267" s="12"/>
      <c r="D267" s="12"/>
      <c r="E267" s="13"/>
      <c r="F267" s="13"/>
      <c r="G267" s="12"/>
      <c r="H267" s="12"/>
      <c r="I267" s="200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ht="15.75" customHeight="1">
      <c r="A268" s="12"/>
      <c r="B268" s="12"/>
      <c r="C268" s="12"/>
      <c r="D268" s="12"/>
      <c r="E268" s="13"/>
      <c r="F268" s="13"/>
      <c r="G268" s="12"/>
      <c r="H268" s="12"/>
      <c r="I268" s="200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ht="15.75" customHeight="1">
      <c r="A269" s="12"/>
      <c r="B269" s="12"/>
      <c r="C269" s="12"/>
      <c r="D269" s="12"/>
      <c r="E269" s="13"/>
      <c r="F269" s="13"/>
      <c r="G269" s="12"/>
      <c r="H269" s="12"/>
      <c r="I269" s="200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ht="15.75" customHeight="1">
      <c r="A270" s="12"/>
      <c r="B270" s="12"/>
      <c r="C270" s="12"/>
      <c r="D270" s="12"/>
      <c r="E270" s="13"/>
      <c r="F270" s="13"/>
      <c r="G270" s="12"/>
      <c r="H270" s="12"/>
      <c r="I270" s="200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ht="15.75" customHeight="1">
      <c r="A271" s="12"/>
      <c r="B271" s="12"/>
      <c r="C271" s="12"/>
      <c r="D271" s="12"/>
      <c r="E271" s="13"/>
      <c r="F271" s="13"/>
      <c r="G271" s="12"/>
      <c r="H271" s="12"/>
      <c r="I271" s="200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ht="15.75" customHeight="1">
      <c r="A272" s="12"/>
      <c r="B272" s="12"/>
      <c r="C272" s="12"/>
      <c r="D272" s="12"/>
      <c r="E272" s="13"/>
      <c r="F272" s="13"/>
      <c r="G272" s="12"/>
      <c r="H272" s="12"/>
      <c r="I272" s="200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ht="15.75" customHeight="1">
      <c r="A273" s="12"/>
      <c r="B273" s="12"/>
      <c r="C273" s="12"/>
      <c r="D273" s="12"/>
      <c r="E273" s="13"/>
      <c r="F273" s="13"/>
      <c r="G273" s="12"/>
      <c r="H273" s="12"/>
      <c r="I273" s="200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ht="15.75" customHeight="1">
      <c r="A274" s="12"/>
      <c r="B274" s="12"/>
      <c r="C274" s="12"/>
      <c r="D274" s="12"/>
      <c r="E274" s="13"/>
      <c r="F274" s="13"/>
      <c r="G274" s="12"/>
      <c r="H274" s="12"/>
      <c r="I274" s="200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ht="15.75" customHeight="1">
      <c r="A275" s="12"/>
      <c r="B275" s="12"/>
      <c r="C275" s="12"/>
      <c r="D275" s="12"/>
      <c r="E275" s="13"/>
      <c r="F275" s="13"/>
      <c r="G275" s="12"/>
      <c r="H275" s="12"/>
      <c r="I275" s="200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ht="15.75" customHeight="1">
      <c r="A276" s="12"/>
      <c r="B276" s="12"/>
      <c r="C276" s="12"/>
      <c r="D276" s="12"/>
      <c r="E276" s="13"/>
      <c r="F276" s="13"/>
      <c r="G276" s="12"/>
      <c r="H276" s="12"/>
      <c r="I276" s="200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ht="15.75" customHeight="1">
      <c r="A277" s="12"/>
      <c r="B277" s="12"/>
      <c r="C277" s="12"/>
      <c r="D277" s="12"/>
      <c r="E277" s="13"/>
      <c r="F277" s="13"/>
      <c r="G277" s="12"/>
      <c r="H277" s="12"/>
      <c r="I277" s="200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ht="15.75" customHeight="1">
      <c r="A278" s="12"/>
      <c r="B278" s="12"/>
      <c r="C278" s="12"/>
      <c r="D278" s="12"/>
      <c r="E278" s="13"/>
      <c r="F278" s="13"/>
      <c r="G278" s="12"/>
      <c r="H278" s="12"/>
      <c r="I278" s="200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ht="15.75" customHeight="1">
      <c r="A279" s="12"/>
      <c r="B279" s="12"/>
      <c r="C279" s="12"/>
      <c r="D279" s="12"/>
      <c r="E279" s="13"/>
      <c r="F279" s="13"/>
      <c r="G279" s="12"/>
      <c r="H279" s="12"/>
      <c r="I279" s="200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ht="15.75" customHeight="1">
      <c r="A280" s="12"/>
      <c r="B280" s="12"/>
      <c r="C280" s="12"/>
      <c r="D280" s="12"/>
      <c r="E280" s="13"/>
      <c r="F280" s="13"/>
      <c r="G280" s="12"/>
      <c r="H280" s="12"/>
      <c r="I280" s="200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ht="15.75" customHeight="1">
      <c r="A281" s="12"/>
      <c r="B281" s="12"/>
      <c r="C281" s="12"/>
      <c r="D281" s="12"/>
      <c r="E281" s="13"/>
      <c r="F281" s="13"/>
      <c r="G281" s="12"/>
      <c r="H281" s="12"/>
      <c r="I281" s="200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ht="15.75" customHeight="1">
      <c r="A282" s="12"/>
      <c r="B282" s="12"/>
      <c r="C282" s="12"/>
      <c r="D282" s="12"/>
      <c r="E282" s="13"/>
      <c r="F282" s="13"/>
      <c r="G282" s="12"/>
      <c r="H282" s="12"/>
      <c r="I282" s="200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ht="15.75" customHeight="1">
      <c r="A283" s="12"/>
      <c r="B283" s="12"/>
      <c r="C283" s="12"/>
      <c r="D283" s="12"/>
      <c r="E283" s="13"/>
      <c r="F283" s="13"/>
      <c r="G283" s="12"/>
      <c r="H283" s="12"/>
      <c r="I283" s="200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ht="15.75" customHeight="1">
      <c r="A284" s="12"/>
      <c r="B284" s="12"/>
      <c r="C284" s="12"/>
      <c r="D284" s="12"/>
      <c r="E284" s="13"/>
      <c r="F284" s="13"/>
      <c r="G284" s="12"/>
      <c r="H284" s="12"/>
      <c r="I284" s="200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ht="15.75" customHeight="1">
      <c r="A285" s="12"/>
      <c r="B285" s="12"/>
      <c r="C285" s="12"/>
      <c r="D285" s="12"/>
      <c r="E285" s="13"/>
      <c r="F285" s="13"/>
      <c r="G285" s="12"/>
      <c r="H285" s="12"/>
      <c r="I285" s="200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ht="15.75" customHeight="1">
      <c r="A286" s="12"/>
      <c r="B286" s="12"/>
      <c r="C286" s="12"/>
      <c r="D286" s="12"/>
      <c r="E286" s="13"/>
      <c r="F286" s="13"/>
      <c r="G286" s="12"/>
      <c r="H286" s="12"/>
      <c r="I286" s="200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ht="15.75" customHeight="1">
      <c r="A287" s="12"/>
      <c r="B287" s="12"/>
      <c r="C287" s="12"/>
      <c r="D287" s="12"/>
      <c r="E287" s="13"/>
      <c r="F287" s="13"/>
      <c r="G287" s="12"/>
      <c r="H287" s="12"/>
      <c r="I287" s="200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ht="15.75" customHeight="1">
      <c r="A288" s="12"/>
      <c r="B288" s="12"/>
      <c r="C288" s="12"/>
      <c r="D288" s="12"/>
      <c r="E288" s="13"/>
      <c r="F288" s="13"/>
      <c r="G288" s="12"/>
      <c r="H288" s="12"/>
      <c r="I288" s="200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ht="15.75" customHeight="1">
      <c r="A289" s="12"/>
      <c r="B289" s="12"/>
      <c r="C289" s="12"/>
      <c r="D289" s="12"/>
      <c r="E289" s="13"/>
      <c r="F289" s="13"/>
      <c r="G289" s="12"/>
      <c r="H289" s="12"/>
      <c r="I289" s="200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ht="15.75" customHeight="1">
      <c r="A290" s="12"/>
      <c r="B290" s="12"/>
      <c r="C290" s="12"/>
      <c r="D290" s="12"/>
      <c r="E290" s="13"/>
      <c r="F290" s="13"/>
      <c r="G290" s="12"/>
      <c r="H290" s="12"/>
      <c r="I290" s="200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ht="15.75" customHeight="1">
      <c r="A291" s="12"/>
      <c r="B291" s="12"/>
      <c r="C291" s="12"/>
      <c r="D291" s="12"/>
      <c r="E291" s="13"/>
      <c r="F291" s="13"/>
      <c r="G291" s="12"/>
      <c r="H291" s="12"/>
      <c r="I291" s="200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ht="15.75" customHeight="1">
      <c r="A292" s="12"/>
      <c r="B292" s="12"/>
      <c r="C292" s="12"/>
      <c r="D292" s="12"/>
      <c r="E292" s="13"/>
      <c r="F292" s="13"/>
      <c r="G292" s="12"/>
      <c r="H292" s="12"/>
      <c r="I292" s="200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ht="15.75" customHeight="1">
      <c r="A293" s="12"/>
      <c r="B293" s="12"/>
      <c r="C293" s="12"/>
      <c r="D293" s="12"/>
      <c r="E293" s="13"/>
      <c r="F293" s="13"/>
      <c r="G293" s="12"/>
      <c r="H293" s="12"/>
      <c r="I293" s="200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ht="15.75" customHeight="1">
      <c r="A294" s="12"/>
      <c r="B294" s="12"/>
      <c r="C294" s="12"/>
      <c r="D294" s="12"/>
      <c r="E294" s="13"/>
      <c r="F294" s="13"/>
      <c r="G294" s="12"/>
      <c r="H294" s="12"/>
      <c r="I294" s="200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ht="15.75" customHeight="1">
      <c r="A295" s="12"/>
      <c r="B295" s="12"/>
      <c r="C295" s="12"/>
      <c r="D295" s="12"/>
      <c r="E295" s="13"/>
      <c r="F295" s="13"/>
      <c r="G295" s="12"/>
      <c r="H295" s="12"/>
      <c r="I295" s="200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ht="15.75" customHeight="1">
      <c r="A296" s="12"/>
      <c r="B296" s="12"/>
      <c r="C296" s="12"/>
      <c r="D296" s="12"/>
      <c r="E296" s="13"/>
      <c r="F296" s="13"/>
      <c r="G296" s="12"/>
      <c r="H296" s="12"/>
      <c r="I296" s="200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ht="15.75" customHeight="1">
      <c r="A297" s="12"/>
      <c r="B297" s="12"/>
      <c r="C297" s="12"/>
      <c r="D297" s="12"/>
      <c r="E297" s="13"/>
      <c r="F297" s="13"/>
      <c r="G297" s="12"/>
      <c r="H297" s="12"/>
      <c r="I297" s="200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ht="15.75" customHeight="1">
      <c r="A298" s="12"/>
      <c r="B298" s="12"/>
      <c r="C298" s="12"/>
      <c r="D298" s="12"/>
      <c r="E298" s="13"/>
      <c r="F298" s="13"/>
      <c r="G298" s="12"/>
      <c r="H298" s="12"/>
      <c r="I298" s="200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ht="15.75" customHeight="1">
      <c r="A299" s="12"/>
      <c r="B299" s="12"/>
      <c r="C299" s="12"/>
      <c r="D299" s="12"/>
      <c r="E299" s="13"/>
      <c r="F299" s="13"/>
      <c r="G299" s="12"/>
      <c r="H299" s="12"/>
      <c r="I299" s="200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ht="15.75" customHeight="1">
      <c r="A300" s="12"/>
      <c r="B300" s="12"/>
      <c r="C300" s="12"/>
      <c r="D300" s="12"/>
      <c r="E300" s="13"/>
      <c r="F300" s="13"/>
      <c r="G300" s="12"/>
      <c r="H300" s="12"/>
      <c r="I300" s="200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E2"/>
    <mergeCell ref="G3:K3"/>
    <mergeCell ref="L3:X3"/>
    <mergeCell ref="D17:E17"/>
  </mergeCells>
  <printOptions/>
  <pageMargins bottom="1.574803149606299" footer="0.0" header="0.0" left="0.7000000000000001" right="0.7000000000000001" top="1.574803149606299"/>
  <pageSetup orientation="portrait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25"/>
    <col customWidth="1" min="2" max="2" width="34.38"/>
    <col customWidth="1" min="3" max="7" width="12.63"/>
    <col customWidth="1" min="8" max="27" width="10.38"/>
  </cols>
  <sheetData>
    <row r="1" ht="9.0" customHeight="1">
      <c r="A1" s="12"/>
      <c r="B1" s="104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15.75" customHeight="1">
      <c r="A2" s="12"/>
      <c r="B2" s="104" t="s">
        <v>530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15.75" customHeight="1">
      <c r="A3" s="12"/>
      <c r="B3" s="12"/>
      <c r="C3" s="106">
        <v>2020.0</v>
      </c>
      <c r="D3" s="106">
        <v>2021.0</v>
      </c>
      <c r="E3" s="106">
        <v>2022.0</v>
      </c>
      <c r="F3" s="106">
        <v>2023.0</v>
      </c>
      <c r="G3" s="106">
        <v>2024.0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ht="15.75" customHeight="1">
      <c r="A4" s="12"/>
      <c r="B4" s="1" t="s">
        <v>531</v>
      </c>
      <c r="C4" s="12">
        <v>77.0</v>
      </c>
      <c r="D4" s="12">
        <f>Datengrundlage!$C$10</f>
        <v>100</v>
      </c>
      <c r="E4" s="1">
        <v>50.0</v>
      </c>
      <c r="F4" s="1">
        <v>50.0</v>
      </c>
      <c r="G4" s="1">
        <v>50.0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ht="15.75" customHeight="1">
      <c r="A5" s="12"/>
      <c r="B5" s="1" t="s">
        <v>532</v>
      </c>
      <c r="C5" s="12">
        <f>C4</f>
        <v>77</v>
      </c>
      <c r="D5" s="12">
        <f t="shared" ref="D5:G5" si="1">D4+C5</f>
        <v>177</v>
      </c>
      <c r="E5" s="12">
        <f t="shared" si="1"/>
        <v>227</v>
      </c>
      <c r="F5" s="12">
        <f t="shared" si="1"/>
        <v>277</v>
      </c>
      <c r="G5" s="12">
        <f t="shared" si="1"/>
        <v>327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ht="15.75" customHeight="1">
      <c r="A6" s="12"/>
      <c r="B6" s="1" t="s">
        <v>533</v>
      </c>
      <c r="C6" s="40">
        <f>C4*Datengrundlage!$C$7</f>
        <v>18480</v>
      </c>
      <c r="D6" s="40">
        <f>D4*Datengrundlage!$C$7</f>
        <v>24000</v>
      </c>
      <c r="E6" s="40">
        <f>E4*Datengrundlage!$C$7</f>
        <v>12000</v>
      </c>
      <c r="F6" s="40">
        <f>F4*Datengrundlage!$C$7</f>
        <v>12000</v>
      </c>
      <c r="G6" s="40">
        <f>G4*Datengrundlage!$C$7</f>
        <v>12000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ht="15.75" customHeight="1">
      <c r="A7" s="12"/>
      <c r="B7" s="1" t="s">
        <v>534</v>
      </c>
      <c r="C7" s="40">
        <f>C6</f>
        <v>18480</v>
      </c>
      <c r="D7" s="40">
        <f t="shared" ref="D7:G7" si="2">C7+D6</f>
        <v>42480</v>
      </c>
      <c r="E7" s="40">
        <f t="shared" si="2"/>
        <v>54480</v>
      </c>
      <c r="F7" s="40">
        <f t="shared" si="2"/>
        <v>66480</v>
      </c>
      <c r="G7" s="40">
        <f t="shared" si="2"/>
        <v>78480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ht="15.75" customHeight="1">
      <c r="A8" s="12"/>
      <c r="B8" s="1" t="s">
        <v>535</v>
      </c>
      <c r="C8" s="40">
        <f>Datengrundlage!$C$7</f>
        <v>240</v>
      </c>
      <c r="D8" s="40">
        <f>Datengrundlage!$C$7</f>
        <v>240</v>
      </c>
      <c r="E8" s="40">
        <f>Datengrundlage!$C$7</f>
        <v>240</v>
      </c>
      <c r="F8" s="40">
        <f>Datengrundlage!$C$7</f>
        <v>240</v>
      </c>
      <c r="G8" s="40">
        <f>Datengrundlage!$C$7</f>
        <v>240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ht="15.75" customHeight="1">
      <c r="A9" s="12"/>
      <c r="B9" s="1" t="s">
        <v>536</v>
      </c>
      <c r="C9" s="1"/>
      <c r="D9" s="1"/>
      <c r="E9" s="1"/>
      <c r="F9" s="1"/>
      <c r="G9" s="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ht="15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ht="15.75" customHeight="1">
      <c r="A12" s="12"/>
      <c r="B12" s="5" t="s">
        <v>537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ht="15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ht="15.75" customHeight="1">
      <c r="A14" s="12"/>
      <c r="B14" s="5" t="s">
        <v>538</v>
      </c>
      <c r="C14" s="208" t="s">
        <v>539</v>
      </c>
      <c r="D14" s="208" t="s">
        <v>540</v>
      </c>
      <c r="E14" s="208" t="s">
        <v>541</v>
      </c>
      <c r="F14" s="208" t="s">
        <v>542</v>
      </c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</row>
    <row r="15" ht="15.75" customHeight="1">
      <c r="A15" s="12"/>
      <c r="B15" s="55">
        <v>250.0</v>
      </c>
      <c r="C15" s="227">
        <f t="shared" ref="C15:C17" si="3">E15*$C$29</f>
        <v>88.5</v>
      </c>
      <c r="D15" s="55">
        <f t="shared" ref="D15:D28" si="4">B15*C15</f>
        <v>22125</v>
      </c>
      <c r="E15" s="228">
        <v>0.5</v>
      </c>
      <c r="F15" s="228">
        <f>D15/D29</f>
        <v>0.1805238251</v>
      </c>
      <c r="G15" s="229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</row>
    <row r="16" ht="15.75" customHeight="1">
      <c r="A16" s="12"/>
      <c r="B16" s="55">
        <v>500.0</v>
      </c>
      <c r="C16" s="227">
        <f t="shared" si="3"/>
        <v>31.86</v>
      </c>
      <c r="D16" s="55">
        <f t="shared" si="4"/>
        <v>15930</v>
      </c>
      <c r="E16" s="228">
        <v>0.18</v>
      </c>
      <c r="F16" s="228">
        <f>D16/D29</f>
        <v>0.129977154</v>
      </c>
      <c r="G16" s="229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</row>
    <row r="17" ht="15.75" customHeight="1">
      <c r="A17" s="12"/>
      <c r="B17" s="55">
        <v>750.0</v>
      </c>
      <c r="C17" s="227">
        <f t="shared" si="3"/>
        <v>21.24</v>
      </c>
      <c r="D17" s="55">
        <f t="shared" si="4"/>
        <v>15930</v>
      </c>
      <c r="E17" s="228">
        <v>0.12</v>
      </c>
      <c r="F17" s="228">
        <f>D17/D29</f>
        <v>0.129977154</v>
      </c>
      <c r="G17" s="229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</row>
    <row r="18" ht="15.75" customHeight="1">
      <c r="A18" s="12"/>
      <c r="B18" s="55">
        <v>1000.0</v>
      </c>
      <c r="C18" s="227">
        <v>8.0</v>
      </c>
      <c r="D18" s="55">
        <f t="shared" si="4"/>
        <v>8000</v>
      </c>
      <c r="E18" s="228">
        <v>0.05</v>
      </c>
      <c r="F18" s="228">
        <f>D18/D29</f>
        <v>0.06527415144</v>
      </c>
      <c r="G18" s="229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</row>
    <row r="19" ht="15.75" customHeight="1">
      <c r="A19" s="12"/>
      <c r="B19" s="55">
        <v>1250.0</v>
      </c>
      <c r="C19" s="227">
        <f t="shared" ref="C19:C24" si="5">E19*$C$29</f>
        <v>3.54</v>
      </c>
      <c r="D19" s="55">
        <f t="shared" si="4"/>
        <v>4425</v>
      </c>
      <c r="E19" s="228">
        <v>0.02</v>
      </c>
      <c r="F19" s="228">
        <f>D19/D29</f>
        <v>0.03610476501</v>
      </c>
      <c r="G19" s="229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</row>
    <row r="20" ht="15.75" customHeight="1">
      <c r="A20" s="12"/>
      <c r="B20" s="55">
        <v>1500.0</v>
      </c>
      <c r="C20" s="227">
        <f t="shared" si="5"/>
        <v>3.54</v>
      </c>
      <c r="D20" s="55">
        <f t="shared" si="4"/>
        <v>5310</v>
      </c>
      <c r="E20" s="228">
        <v>0.02</v>
      </c>
      <c r="F20" s="228">
        <f>D20/D29</f>
        <v>0.04332571802</v>
      </c>
      <c r="G20" s="229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</row>
    <row r="21" ht="15.75" customHeight="1">
      <c r="A21" s="12"/>
      <c r="B21" s="55">
        <v>1750.0</v>
      </c>
      <c r="C21" s="227">
        <f t="shared" si="5"/>
        <v>3.54</v>
      </c>
      <c r="D21" s="55">
        <f t="shared" si="4"/>
        <v>6195</v>
      </c>
      <c r="E21" s="228">
        <v>0.02</v>
      </c>
      <c r="F21" s="228">
        <f>D21/D29</f>
        <v>0.05054667102</v>
      </c>
      <c r="G21" s="229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</row>
    <row r="22" ht="15.75" customHeight="1">
      <c r="A22" s="12"/>
      <c r="B22" s="55">
        <v>2000.0</v>
      </c>
      <c r="C22" s="227">
        <f t="shared" si="5"/>
        <v>3.54</v>
      </c>
      <c r="D22" s="55">
        <f t="shared" si="4"/>
        <v>7080</v>
      </c>
      <c r="E22" s="228">
        <v>0.02</v>
      </c>
      <c r="F22" s="228">
        <f>D22/D29</f>
        <v>0.05776762402</v>
      </c>
      <c r="G22" s="229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</row>
    <row r="23" ht="15.75" customHeight="1">
      <c r="A23" s="12"/>
      <c r="B23" s="55">
        <v>2250.0</v>
      </c>
      <c r="C23" s="227">
        <f t="shared" si="5"/>
        <v>3.54</v>
      </c>
      <c r="D23" s="55">
        <f t="shared" si="4"/>
        <v>7965</v>
      </c>
      <c r="E23" s="228">
        <v>0.02</v>
      </c>
      <c r="F23" s="228">
        <f>D23/D29</f>
        <v>0.06498857702</v>
      </c>
      <c r="G23" s="229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</row>
    <row r="24" ht="15.75" customHeight="1">
      <c r="A24" s="12"/>
      <c r="B24" s="55">
        <v>2500.0</v>
      </c>
      <c r="C24" s="227">
        <f t="shared" si="5"/>
        <v>3.54</v>
      </c>
      <c r="D24" s="55">
        <f t="shared" si="4"/>
        <v>8850</v>
      </c>
      <c r="E24" s="228">
        <v>0.02</v>
      </c>
      <c r="F24" s="228">
        <f>D24/D29</f>
        <v>0.07220953003</v>
      </c>
      <c r="G24" s="229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</row>
    <row r="25" ht="15.75" customHeight="1">
      <c r="A25" s="12"/>
      <c r="B25" s="55">
        <v>2750.0</v>
      </c>
      <c r="C25" s="227">
        <v>1.0</v>
      </c>
      <c r="D25" s="55">
        <f t="shared" si="4"/>
        <v>2750</v>
      </c>
      <c r="E25" s="228">
        <v>0.005</v>
      </c>
      <c r="F25" s="228">
        <f>D25/D29</f>
        <v>0.02243798956</v>
      </c>
      <c r="G25" s="229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</row>
    <row r="26" ht="15.75" customHeight="1">
      <c r="A26" s="12"/>
      <c r="B26" s="55">
        <v>3000.0</v>
      </c>
      <c r="C26" s="227">
        <v>1.0</v>
      </c>
      <c r="D26" s="55">
        <f t="shared" si="4"/>
        <v>3000</v>
      </c>
      <c r="E26" s="228">
        <v>0.005</v>
      </c>
      <c r="F26" s="228">
        <f>D26/D29</f>
        <v>0.02447780679</v>
      </c>
      <c r="G26" s="229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</row>
    <row r="27" ht="15.75" customHeight="1">
      <c r="A27" s="12"/>
      <c r="B27" s="55">
        <v>5000.0</v>
      </c>
      <c r="C27" s="227">
        <v>1.0</v>
      </c>
      <c r="D27" s="55">
        <f t="shared" si="4"/>
        <v>5000</v>
      </c>
      <c r="E27" s="228">
        <v>0.005</v>
      </c>
      <c r="F27" s="228">
        <f>D27/D29</f>
        <v>0.04079634465</v>
      </c>
      <c r="G27" s="229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</row>
    <row r="28" ht="15.75" customHeight="1">
      <c r="A28" s="12"/>
      <c r="B28" s="55">
        <v>10000.0</v>
      </c>
      <c r="C28" s="227">
        <v>1.0</v>
      </c>
      <c r="D28" s="55">
        <f t="shared" si="4"/>
        <v>10000</v>
      </c>
      <c r="E28" s="228">
        <v>0.005</v>
      </c>
      <c r="F28" s="228">
        <f>D28/D29</f>
        <v>0.0815926893</v>
      </c>
      <c r="G28" s="229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</row>
    <row r="29" ht="15.75" customHeight="1">
      <c r="A29" s="12"/>
      <c r="B29" s="5" t="s">
        <v>543</v>
      </c>
      <c r="C29" s="230">
        <f>D5</f>
        <v>177</v>
      </c>
      <c r="D29" s="58">
        <f t="shared" ref="D29:F29" si="6">SUM(D15:D28)</f>
        <v>122560</v>
      </c>
      <c r="E29" s="231">
        <f t="shared" si="6"/>
        <v>0.99</v>
      </c>
      <c r="F29" s="231">
        <f t="shared" si="6"/>
        <v>1</v>
      </c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</row>
    <row r="30" ht="15.75" customHeight="1">
      <c r="A30" s="12"/>
      <c r="B30" s="5" t="s">
        <v>544</v>
      </c>
      <c r="C30" s="55">
        <f>D29/C29</f>
        <v>692.4293785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</row>
    <row r="31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574803149606299" footer="0.0" header="0.0" left="0.7000000000000001" right="0.7000000000000001" top="1.574803149606299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13.88"/>
    <col customWidth="1" min="2" max="2" width="47.88"/>
    <col customWidth="1" min="3" max="3" width="10.38"/>
    <col customWidth="1" min="4" max="4" width="59.13"/>
    <col customWidth="1" min="5" max="24" width="10.38"/>
    <col customWidth="1" min="25" max="26" width="11.0"/>
  </cols>
  <sheetData>
    <row r="1" ht="15.75" customHeight="1">
      <c r="A1" s="5" t="s">
        <v>6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5.75" customHeight="1">
      <c r="A2" s="2" t="s">
        <v>7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5.75" customHeight="1">
      <c r="A3" s="5"/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5.75" customHeight="1">
      <c r="A4" s="1"/>
      <c r="B4" s="1"/>
      <c r="C4" s="7">
        <v>150.0</v>
      </c>
      <c r="D4" s="1" t="s">
        <v>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5.75" customHeight="1">
      <c r="A5" s="1"/>
      <c r="B5" s="1"/>
      <c r="C5" s="7">
        <v>1.6</v>
      </c>
      <c r="D5" s="1" t="s"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5.75" hidden="1" customHeight="1">
      <c r="A6" s="1"/>
      <c r="B6" s="1" t="s">
        <v>10</v>
      </c>
      <c r="C6" s="7">
        <v>50.0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5.75" customHeight="1">
      <c r="A7" s="1"/>
      <c r="B7" s="1" t="s">
        <v>11</v>
      </c>
      <c r="C7" s="7">
        <f>C5*C4</f>
        <v>240</v>
      </c>
      <c r="D7" s="1" t="s">
        <v>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5.75" hidden="1" customHeight="1">
      <c r="A8" s="1"/>
      <c r="B8" s="1" t="s">
        <v>12</v>
      </c>
      <c r="C8" s="7">
        <v>0.0</v>
      </c>
      <c r="D8" s="1" t="s">
        <v>13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5.75" hidden="1" customHeight="1">
      <c r="A9" s="1"/>
      <c r="B9" s="1" t="s">
        <v>14</v>
      </c>
      <c r="C9" s="7">
        <v>3.0</v>
      </c>
      <c r="D9" s="1" t="s">
        <v>15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5.75" customHeight="1">
      <c r="A10" s="1"/>
      <c r="B10" s="1" t="s">
        <v>16</v>
      </c>
      <c r="C10" s="7">
        <v>100.0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 customHeight="1">
      <c r="A11" s="1"/>
      <c r="B11" s="1" t="s">
        <v>17</v>
      </c>
      <c r="C11" s="7">
        <v>50.0</v>
      </c>
      <c r="D11" s="1" t="s">
        <v>18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5.75" customHeight="1">
      <c r="A12" s="5" t="s">
        <v>19</v>
      </c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 customHeight="1">
      <c r="A13" s="5"/>
      <c r="B13" s="1" t="s">
        <v>20</v>
      </c>
      <c r="C13" s="7">
        <v>100.0</v>
      </c>
      <c r="D13" s="1" t="s">
        <v>21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 customHeight="1">
      <c r="A14" s="5"/>
      <c r="B14" s="1" t="s">
        <v>22</v>
      </c>
      <c r="C14" s="7">
        <v>10.0</v>
      </c>
      <c r="D14" s="1" t="s"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5.75" hidden="1" customHeight="1">
      <c r="A15" s="5"/>
      <c r="B15" s="1" t="s">
        <v>22</v>
      </c>
      <c r="C15" s="7">
        <v>0.0</v>
      </c>
      <c r="D15" s="1" t="s">
        <v>24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5.75" customHeight="1">
      <c r="A16" s="5" t="s">
        <v>25</v>
      </c>
      <c r="B16" s="1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 customHeight="1">
      <c r="A17" s="1"/>
      <c r="B17" s="8" t="s">
        <v>26</v>
      </c>
      <c r="C17" s="9">
        <v>78.0</v>
      </c>
      <c r="D17" s="10" t="s">
        <v>27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5.75" customHeight="1">
      <c r="A18" s="1"/>
      <c r="B18" s="1" t="s">
        <v>28</v>
      </c>
      <c r="C18" s="7">
        <f>C17/1.07</f>
        <v>72.89719626</v>
      </c>
      <c r="D18" s="1" t="s">
        <v>29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5.75" hidden="1" customHeight="1">
      <c r="A19" s="5" t="s">
        <v>30</v>
      </c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5.75" hidden="1" customHeight="1">
      <c r="A20" s="5"/>
      <c r="B20" s="1" t="s">
        <v>31</v>
      </c>
      <c r="C20" s="7"/>
      <c r="D20" s="1" t="s">
        <v>32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hidden="1" customHeight="1">
      <c r="A21" s="5"/>
      <c r="B21" s="1" t="s">
        <v>33</v>
      </c>
      <c r="C21" s="7"/>
      <c r="D21" s="1" t="s">
        <v>34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hidden="1" customHeight="1">
      <c r="A22" s="5" t="s">
        <v>35</v>
      </c>
      <c r="B22" s="1"/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hidden="1" customHeight="1">
      <c r="A23" s="1"/>
      <c r="B23" s="1" t="s">
        <v>36</v>
      </c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hidden="1" customHeight="1">
      <c r="A24" s="1"/>
      <c r="B24" s="1" t="s">
        <v>37</v>
      </c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hidden="1" customHeight="1">
      <c r="A25" s="1"/>
      <c r="B25" s="1" t="s">
        <v>38</v>
      </c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hidden="1" customHeight="1">
      <c r="A26" s="1"/>
      <c r="B26" s="1" t="s">
        <v>39</v>
      </c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hidden="1" customHeight="1">
      <c r="A27" s="1"/>
      <c r="B27" s="1" t="s">
        <v>40</v>
      </c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5" t="s">
        <v>41</v>
      </c>
      <c r="B28" s="1"/>
      <c r="C28" s="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hidden="1" customHeight="1">
      <c r="A29" s="1"/>
      <c r="B29" s="1" t="s">
        <v>42</v>
      </c>
      <c r="C29" s="7">
        <v>0.0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hidden="1" customHeight="1">
      <c r="A30" s="1"/>
      <c r="B30" s="1" t="s">
        <v>43</v>
      </c>
      <c r="C30" s="7">
        <v>0.0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 t="s">
        <v>44</v>
      </c>
      <c r="C31" s="7">
        <v>3.5</v>
      </c>
      <c r="D31" s="1" t="s">
        <v>45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" t="s">
        <v>46</v>
      </c>
      <c r="C32" s="7">
        <f>SUM(C29:C31)</f>
        <v>3.5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 t="s">
        <v>47</v>
      </c>
      <c r="C33" s="7">
        <v>240.0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" t="s">
        <v>48</v>
      </c>
      <c r="C34" s="7">
        <f>C33*C32</f>
        <v>840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 t="s">
        <v>49</v>
      </c>
      <c r="C35" s="7">
        <v>0.0</v>
      </c>
      <c r="D35" s="1" t="s">
        <v>50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 t="s">
        <v>51</v>
      </c>
      <c r="C36" s="7">
        <v>0.0</v>
      </c>
      <c r="D36" s="11" t="s">
        <v>52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hidden="1" customHeight="1">
      <c r="A37" s="1"/>
      <c r="B37" s="10" t="s">
        <v>53</v>
      </c>
      <c r="C37" s="9">
        <f>C35*C32</f>
        <v>0</v>
      </c>
      <c r="D37" s="10" t="s">
        <v>54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hidden="1" customHeight="1">
      <c r="A38" s="1"/>
      <c r="B38" s="1" t="s">
        <v>55</v>
      </c>
      <c r="C38" s="7">
        <v>0.0</v>
      </c>
      <c r="D38" s="1" t="s">
        <v>56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5" t="s">
        <v>57</v>
      </c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 t="s">
        <v>58</v>
      </c>
      <c r="C40" s="7"/>
      <c r="D40" s="1" t="s">
        <v>59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 t="s">
        <v>60</v>
      </c>
      <c r="C41" s="7">
        <v>105.0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 t="s">
        <v>61</v>
      </c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 t="s">
        <v>62</v>
      </c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 t="s">
        <v>63</v>
      </c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 t="s">
        <v>64</v>
      </c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hidden="1" customHeight="1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hidden="1" customHeight="1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hidden="1" customHeight="1">
      <c r="A48" s="5" t="s">
        <v>65</v>
      </c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hidden="1" customHeight="1">
      <c r="A49" s="1"/>
      <c r="B49" s="1" t="s">
        <v>66</v>
      </c>
      <c r="C49" s="7">
        <v>15.0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hidden="1" customHeight="1">
      <c r="A50" s="1"/>
      <c r="B50" s="1" t="s">
        <v>67</v>
      </c>
      <c r="C50" s="7">
        <v>5.5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5" t="s">
        <v>68</v>
      </c>
      <c r="B51" s="1"/>
      <c r="C51" s="7"/>
      <c r="D51" s="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 t="s">
        <v>69</v>
      </c>
      <c r="C52" s="7">
        <f>(10.76*1.75)*1.7</f>
        <v>32.011</v>
      </c>
      <c r="D52" s="1" t="s">
        <v>70</v>
      </c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 t="s">
        <v>71</v>
      </c>
      <c r="C53" s="7">
        <f>(7.8*1.75)*1.7</f>
        <v>23.205</v>
      </c>
      <c r="D53" s="1" t="s">
        <v>70</v>
      </c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 t="s">
        <v>72</v>
      </c>
      <c r="C54" s="7">
        <f>2.48*1.75</f>
        <v>4.34</v>
      </c>
      <c r="D54" s="1" t="s">
        <v>70</v>
      </c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3.5" customHeight="1">
      <c r="A55" s="1"/>
      <c r="B55" s="1" t="s">
        <v>73</v>
      </c>
      <c r="C55" s="7">
        <v>300.0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 t="s">
        <v>74</v>
      </c>
      <c r="C56" s="7">
        <v>570.0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 t="s">
        <v>75</v>
      </c>
      <c r="C57" s="7">
        <v>150.0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 t="s">
        <v>76</v>
      </c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5" t="s">
        <v>77</v>
      </c>
      <c r="B59" s="5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 t="s">
        <v>78</v>
      </c>
      <c r="C60" s="7">
        <v>150.0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 t="s">
        <v>79</v>
      </c>
      <c r="C61" s="7">
        <v>185.0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 t="s">
        <v>80</v>
      </c>
      <c r="C62" s="7">
        <v>150.0</v>
      </c>
      <c r="D62" s="1" t="s">
        <v>81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 t="s">
        <v>82</v>
      </c>
      <c r="C63" s="7">
        <v>75.0</v>
      </c>
      <c r="D63" s="1" t="s">
        <v>83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5" t="s">
        <v>84</v>
      </c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3" t="s">
        <v>85</v>
      </c>
      <c r="C65" s="7">
        <v>5.0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 t="s">
        <v>86</v>
      </c>
      <c r="C66" s="7">
        <v>500.0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 t="s">
        <v>87</v>
      </c>
      <c r="C67" s="7">
        <v>50.0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 t="s">
        <v>88</v>
      </c>
      <c r="C68" s="7">
        <v>75.0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 t="s">
        <v>89</v>
      </c>
      <c r="C69" s="7">
        <v>150.0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5" t="s">
        <v>90</v>
      </c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 t="s">
        <v>91</v>
      </c>
      <c r="C71" s="14">
        <v>35.0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 t="s">
        <v>92</v>
      </c>
      <c r="C72" s="14"/>
      <c r="D72" s="1" t="s">
        <v>93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 t="s">
        <v>94</v>
      </c>
      <c r="C73" s="14">
        <v>8.0</v>
      </c>
      <c r="D73" s="1" t="s">
        <v>95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 t="s">
        <v>96</v>
      </c>
      <c r="C74" s="14">
        <v>19.1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5" t="s">
        <v>97</v>
      </c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 t="s">
        <v>98</v>
      </c>
      <c r="C76" s="7">
        <v>0.6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 t="s">
        <v>99</v>
      </c>
      <c r="C77" s="7">
        <v>0.2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5" t="s">
        <v>100</v>
      </c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 t="s">
        <v>101</v>
      </c>
      <c r="C79" s="14">
        <v>15.4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 t="s">
        <v>102</v>
      </c>
      <c r="C80" s="14">
        <f>9*50</f>
        <v>450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hidden="1" customHeight="1">
      <c r="A81" s="1"/>
      <c r="B81" s="1" t="s">
        <v>102</v>
      </c>
      <c r="C81" s="14">
        <f>5.5*50</f>
        <v>275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hidden="1" customHeight="1">
      <c r="A82" s="1"/>
      <c r="B82" s="1" t="s">
        <v>103</v>
      </c>
      <c r="C82" s="14">
        <v>3.0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 t="s">
        <v>104</v>
      </c>
      <c r="C83" s="14">
        <v>300.0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 t="s">
        <v>105</v>
      </c>
      <c r="C84" s="14">
        <f>25*150/60</f>
        <v>62.5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 t="s">
        <v>106</v>
      </c>
      <c r="C85" s="14">
        <v>50.0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 t="s">
        <v>107</v>
      </c>
      <c r="C86" s="14">
        <v>708.0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5" t="s">
        <v>108</v>
      </c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 t="s">
        <v>109</v>
      </c>
      <c r="C88" s="14">
        <f>C94*C95</f>
        <v>1736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hidden="1" customHeight="1">
      <c r="A89" s="1"/>
      <c r="B89" s="1" t="s">
        <v>110</v>
      </c>
      <c r="C89" s="14">
        <v>365.0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hidden="1" customHeight="1">
      <c r="A90" s="1"/>
      <c r="B90" s="1" t="s">
        <v>111</v>
      </c>
      <c r="C90" s="14">
        <f>52*2</f>
        <v>104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hidden="1" customHeight="1">
      <c r="A91" s="1"/>
      <c r="B91" s="1" t="s">
        <v>112</v>
      </c>
      <c r="C91" s="14">
        <v>8.0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hidden="1" customHeight="1">
      <c r="A92" s="1"/>
      <c r="B92" s="1" t="s">
        <v>113</v>
      </c>
      <c r="C92" s="14">
        <v>25.0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hidden="1" customHeight="1">
      <c r="A93" s="1"/>
      <c r="B93" s="1" t="s">
        <v>114</v>
      </c>
      <c r="C93" s="14">
        <v>11.0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hidden="1" customHeight="1">
      <c r="A94" s="1"/>
      <c r="B94" s="1" t="s">
        <v>115</v>
      </c>
      <c r="C94" s="14">
        <f>C89-C90-C91-C92-C93</f>
        <v>217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hidden="1" customHeight="1">
      <c r="A95" s="1"/>
      <c r="B95" s="1" t="s">
        <v>116</v>
      </c>
      <c r="C95" s="16">
        <v>8.0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 t="s">
        <v>117</v>
      </c>
      <c r="C96" s="7">
        <f>C106+C106*(SUM(C97:C103))</f>
        <v>32836.05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hidden="1" customHeight="1">
      <c r="A97" s="1"/>
      <c r="B97" s="1" t="s">
        <v>118</v>
      </c>
      <c r="C97" s="7">
        <v>0.093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hidden="1" customHeight="1">
      <c r="A98" s="1"/>
      <c r="B98" s="1" t="s">
        <v>119</v>
      </c>
      <c r="C98" s="7">
        <v>0.073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hidden="1" customHeight="1">
      <c r="A99" s="1"/>
      <c r="B99" s="1" t="s">
        <v>120</v>
      </c>
      <c r="C99" s="7">
        <v>0.015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hidden="1" customHeight="1">
      <c r="A100" s="1"/>
      <c r="B100" s="1" t="s">
        <v>121</v>
      </c>
      <c r="C100" s="7">
        <v>0.01275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hidden="1" customHeight="1">
      <c r="A101" s="1"/>
      <c r="B101" s="1" t="s">
        <v>122</v>
      </c>
      <c r="C101" s="7">
        <v>0.018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hidden="1" customHeight="1">
      <c r="A102" s="1"/>
      <c r="B102" s="1" t="s">
        <v>123</v>
      </c>
      <c r="C102" s="7">
        <v>0.0038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hidden="1" customHeight="1">
      <c r="A103" s="1"/>
      <c r="B103" s="1" t="s">
        <v>124</v>
      </c>
      <c r="C103" s="7">
        <v>6.0E-4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hidden="1" customHeight="1">
      <c r="A104" s="1"/>
      <c r="B104" s="1" t="s">
        <v>125</v>
      </c>
      <c r="C104" s="17">
        <v>2250.0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hidden="1" customHeight="1">
      <c r="A105" s="1"/>
      <c r="B105" s="1" t="s">
        <v>126</v>
      </c>
      <c r="C105" s="7">
        <f>C104*8/C95</f>
        <v>2250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hidden="1" customHeight="1">
      <c r="A106" s="1"/>
      <c r="B106" s="1" t="s">
        <v>127</v>
      </c>
      <c r="C106" s="7">
        <f>12*C104</f>
        <v>27000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hidden="1" customHeight="1">
      <c r="A107" s="1"/>
      <c r="B107" s="1" t="s">
        <v>128</v>
      </c>
      <c r="C107" s="7">
        <f>C106/((C94+C93)*C95)</f>
        <v>14.80263158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5" t="s">
        <v>129</v>
      </c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 t="s">
        <v>130</v>
      </c>
      <c r="C109" s="14">
        <f>C123/C124</f>
        <v>568.4210526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hidden="1" customHeight="1">
      <c r="A110" s="1"/>
      <c r="B110" s="1" t="s">
        <v>131</v>
      </c>
      <c r="C110" s="14">
        <f>C109-C113</f>
        <v>524.6963563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hidden="1" customHeight="1">
      <c r="A111" s="1"/>
      <c r="B111" s="1" t="s">
        <v>132</v>
      </c>
      <c r="C111" s="14">
        <f>C109/52</f>
        <v>10.93117409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hidden="1" customHeight="1">
      <c r="A112" s="1"/>
      <c r="B112" s="1" t="s">
        <v>133</v>
      </c>
      <c r="C112" s="14">
        <v>8.0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hidden="1" customHeight="1">
      <c r="A113" s="12"/>
      <c r="B113" s="1" t="s">
        <v>134</v>
      </c>
      <c r="C113" s="14">
        <f>C111*4</f>
        <v>43.72469636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ht="15.75" customHeight="1">
      <c r="A114" s="12"/>
      <c r="B114" s="1" t="s">
        <v>117</v>
      </c>
      <c r="C114" s="7">
        <f>C123*(1+C116)+C122</f>
        <v>7130.76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ht="15.75" hidden="1" customHeight="1">
      <c r="A115" s="12"/>
      <c r="B115" s="1" t="s">
        <v>135</v>
      </c>
      <c r="C115" s="7">
        <f>C114/C109</f>
        <v>12.54485556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ht="15.75" hidden="1" customHeight="1">
      <c r="A116" s="12"/>
      <c r="B116" s="18" t="s">
        <v>136</v>
      </c>
      <c r="C116" s="7">
        <f>SUM(C117:C121)</f>
        <v>0.3094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ht="15.75" hidden="1" customHeight="1">
      <c r="A117" s="1"/>
      <c r="B117" s="1" t="s">
        <v>137</v>
      </c>
      <c r="C117" s="7">
        <v>0.13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hidden="1" customHeight="1">
      <c r="A118" s="1"/>
      <c r="B118" s="1" t="s">
        <v>138</v>
      </c>
      <c r="C118" s="7">
        <v>0.15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hidden="1" customHeight="1">
      <c r="A119" s="1"/>
      <c r="B119" s="1" t="s">
        <v>139</v>
      </c>
      <c r="C119" s="7">
        <v>0.02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hidden="1" customHeight="1">
      <c r="A120" s="1"/>
      <c r="B120" s="1" t="s">
        <v>140</v>
      </c>
      <c r="C120" s="7">
        <v>0.007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hidden="1" customHeight="1">
      <c r="A121" s="1"/>
      <c r="B121" s="1" t="s">
        <v>141</v>
      </c>
      <c r="C121" s="7">
        <v>0.0024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hidden="1" customHeight="1">
      <c r="A122" s="1"/>
      <c r="B122" s="1" t="s">
        <v>142</v>
      </c>
      <c r="C122" s="7">
        <v>60.0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hidden="1" customHeight="1">
      <c r="A123" s="1"/>
      <c r="B123" s="1" t="s">
        <v>127</v>
      </c>
      <c r="C123" s="7">
        <f>450*12</f>
        <v>5400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hidden="1" customHeight="1">
      <c r="A124" s="1"/>
      <c r="B124" s="1" t="s">
        <v>128</v>
      </c>
      <c r="C124" s="17">
        <v>9.5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5" t="s">
        <v>143</v>
      </c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 t="s">
        <v>109</v>
      </c>
      <c r="C126" s="14">
        <f>C132*C133</f>
        <v>1736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0" hidden="1" customHeight="1">
      <c r="A127" s="1"/>
      <c r="B127" s="1" t="s">
        <v>110</v>
      </c>
      <c r="C127" s="7">
        <v>365.0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hidden="1" customHeight="1">
      <c r="A128" s="1"/>
      <c r="B128" s="1" t="s">
        <v>111</v>
      </c>
      <c r="C128" s="7">
        <f>52*2</f>
        <v>104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hidden="1" customHeight="1">
      <c r="A129" s="1"/>
      <c r="B129" s="1" t="s">
        <v>112</v>
      </c>
      <c r="C129" s="7">
        <v>8.0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hidden="1" customHeight="1">
      <c r="A130" s="1"/>
      <c r="B130" s="1" t="s">
        <v>113</v>
      </c>
      <c r="C130" s="7">
        <v>25.0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hidden="1" customHeight="1">
      <c r="A131" s="1"/>
      <c r="B131" s="1" t="s">
        <v>114</v>
      </c>
      <c r="C131" s="7">
        <v>11.0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hidden="1" customHeight="1">
      <c r="A132" s="1"/>
      <c r="B132" s="1" t="s">
        <v>115</v>
      </c>
      <c r="C132" s="7">
        <f>C127-C128-C129-C130-C131</f>
        <v>217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hidden="1" customHeight="1">
      <c r="A133" s="1"/>
      <c r="B133" s="1" t="s">
        <v>116</v>
      </c>
      <c r="C133" s="17">
        <v>8.0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 t="s">
        <v>117</v>
      </c>
      <c r="C134" s="7">
        <f>C144+C144*(SUM(C135:C141))</f>
        <v>21073.4472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ht="15.75" hidden="1" customHeight="1">
      <c r="A135" s="1"/>
      <c r="B135" s="1" t="s">
        <v>118</v>
      </c>
      <c r="C135" s="7">
        <v>0.093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ht="15.75" hidden="1" customHeight="1">
      <c r="A136" s="1"/>
      <c r="B136" s="1" t="s">
        <v>119</v>
      </c>
      <c r="C136" s="7">
        <v>0.073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ht="15.75" hidden="1" customHeight="1">
      <c r="A137" s="1"/>
      <c r="B137" s="1" t="s">
        <v>120</v>
      </c>
      <c r="C137" s="7">
        <v>0.015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ht="15.75" hidden="1" customHeight="1">
      <c r="A138" s="1"/>
      <c r="B138" s="1" t="s">
        <v>121</v>
      </c>
      <c r="C138" s="7">
        <v>0.01275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hidden="1" customHeight="1">
      <c r="A139" s="1"/>
      <c r="B139" s="1" t="s">
        <v>122</v>
      </c>
      <c r="C139" s="7">
        <v>0.018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hidden="1" customHeight="1">
      <c r="A140" s="1"/>
      <c r="B140" s="1" t="s">
        <v>123</v>
      </c>
      <c r="C140" s="7">
        <v>0.0038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hidden="1" customHeight="1">
      <c r="A141" s="1"/>
      <c r="B141" s="1" t="s">
        <v>124</v>
      </c>
      <c r="C141" s="7">
        <v>6.0E-4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hidden="1" customHeight="1">
      <c r="A142" s="1"/>
      <c r="B142" s="1" t="s">
        <v>125</v>
      </c>
      <c r="C142" s="17">
        <v>1444.0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hidden="1" customHeight="1">
      <c r="A143" s="1"/>
      <c r="B143" s="1" t="s">
        <v>126</v>
      </c>
      <c r="C143" s="7">
        <f>C142*8/C133</f>
        <v>1444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hidden="1" customHeight="1">
      <c r="A144" s="1"/>
      <c r="B144" s="1" t="s">
        <v>127</v>
      </c>
      <c r="C144" s="7">
        <f>12*C142</f>
        <v>17328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ht="15.75" hidden="1" customHeight="1">
      <c r="A145" s="1"/>
      <c r="B145" s="1" t="s">
        <v>128</v>
      </c>
      <c r="C145" s="7">
        <f>C144/((C132+C131)*C133)</f>
        <v>9.5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ht="15.75" customHeight="1">
      <c r="A146" s="5" t="s">
        <v>144</v>
      </c>
      <c r="B146" s="1"/>
      <c r="C146" s="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ht="15.75" customHeight="1">
      <c r="A147" s="1"/>
      <c r="B147" s="1" t="s">
        <v>109</v>
      </c>
      <c r="C147" s="14">
        <f>C153*C154</f>
        <v>1736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ht="15.75" hidden="1" customHeight="1">
      <c r="A148" s="1"/>
      <c r="B148" s="1" t="s">
        <v>110</v>
      </c>
      <c r="C148" s="7">
        <v>365.0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ht="15.75" hidden="1" customHeight="1">
      <c r="A149" s="1"/>
      <c r="B149" s="1" t="s">
        <v>111</v>
      </c>
      <c r="C149" s="7">
        <f>52*2</f>
        <v>104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ht="15.75" hidden="1" customHeight="1">
      <c r="A150" s="1"/>
      <c r="B150" s="1" t="s">
        <v>112</v>
      </c>
      <c r="C150" s="7">
        <v>8.0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ht="15.75" hidden="1" customHeight="1">
      <c r="A151" s="1"/>
      <c r="B151" s="1" t="s">
        <v>113</v>
      </c>
      <c r="C151" s="7">
        <v>25.0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hidden="1" customHeight="1">
      <c r="A152" s="1"/>
      <c r="B152" s="1" t="s">
        <v>114</v>
      </c>
      <c r="C152" s="7">
        <v>11.0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hidden="1" customHeight="1">
      <c r="A153" s="1"/>
      <c r="B153" s="1" t="s">
        <v>115</v>
      </c>
      <c r="C153" s="7">
        <f>C148-C149-C150-C151-C152</f>
        <v>217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hidden="1" customHeight="1">
      <c r="A154" s="1"/>
      <c r="B154" s="1" t="s">
        <v>116</v>
      </c>
      <c r="C154" s="17">
        <v>8.0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 t="s">
        <v>117</v>
      </c>
      <c r="C155" s="7">
        <f>C165+C165*(SUM(C156:C162))</f>
        <v>32836.05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hidden="1" customHeight="1">
      <c r="A156" s="1"/>
      <c r="B156" s="1" t="s">
        <v>118</v>
      </c>
      <c r="C156" s="7">
        <v>0.093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hidden="1" customHeight="1">
      <c r="A157" s="1"/>
      <c r="B157" s="1" t="s">
        <v>119</v>
      </c>
      <c r="C157" s="7">
        <v>0.073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hidden="1" customHeight="1">
      <c r="A158" s="1"/>
      <c r="B158" s="1" t="s">
        <v>120</v>
      </c>
      <c r="C158" s="7">
        <v>0.015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hidden="1" customHeight="1">
      <c r="A159" s="1"/>
      <c r="B159" s="1" t="s">
        <v>121</v>
      </c>
      <c r="C159" s="7">
        <v>0.01275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hidden="1" customHeight="1">
      <c r="A160" s="1"/>
      <c r="B160" s="1" t="s">
        <v>122</v>
      </c>
      <c r="C160" s="7">
        <v>0.018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hidden="1" customHeight="1">
      <c r="A161" s="1"/>
      <c r="B161" s="1" t="s">
        <v>123</v>
      </c>
      <c r="C161" s="7">
        <v>0.0038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ht="15.75" hidden="1" customHeight="1">
      <c r="A162" s="1"/>
      <c r="B162" s="1" t="s">
        <v>124</v>
      </c>
      <c r="C162" s="7">
        <v>6.0E-4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ht="15.75" hidden="1" customHeight="1">
      <c r="A163" s="1"/>
      <c r="B163" s="1" t="s">
        <v>125</v>
      </c>
      <c r="C163" s="17">
        <v>2250.0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ht="15.75" hidden="1" customHeight="1">
      <c r="A164" s="1"/>
      <c r="B164" s="1" t="s">
        <v>126</v>
      </c>
      <c r="C164" s="7">
        <f>C163*8/C154</f>
        <v>2250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ht="15.75" hidden="1" customHeight="1">
      <c r="A165" s="1"/>
      <c r="B165" s="1" t="s">
        <v>127</v>
      </c>
      <c r="C165" s="7">
        <f>12*C163</f>
        <v>27000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hidden="1" customHeight="1">
      <c r="A166" s="1"/>
      <c r="B166" s="1" t="s">
        <v>128</v>
      </c>
      <c r="C166" s="7">
        <f>C165/((C153+C152)*C154)</f>
        <v>14.80263158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hidden="1" customHeight="1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hidden="1" customHeight="1">
      <c r="A169" s="5" t="s">
        <v>145</v>
      </c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hidden="1" customHeight="1">
      <c r="A170" s="1" t="s">
        <v>146</v>
      </c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hidden="1" customHeight="1">
      <c r="A171" s="1" t="s">
        <v>147</v>
      </c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hidden="1" customHeight="1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5.75" customHeight="1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5.75" customHeight="1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5.75" customHeight="1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5.75" customHeight="1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5.75" customHeight="1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5.75" customHeight="1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5.75" customHeight="1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5.75" customHeight="1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5.75" customHeight="1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5.75" customHeight="1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5.75" customHeight="1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ht="15.75" customHeight="1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ht="15.75" customHeight="1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ht="15.75" customHeight="1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ht="15.75" customHeight="1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ht="15.75" customHeight="1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ht="15.75" customHeight="1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ht="15.75" customHeight="1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ht="15.75" customHeight="1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ht="15.75" customHeight="1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ht="15.75" customHeight="1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ht="15.75" customHeight="1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ht="15.75" customHeight="1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ht="15.75" customHeight="1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ht="15.75" customHeight="1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ht="15.75" customHeight="1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ht="15.75" customHeight="1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ht="15.75" customHeight="1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ht="15.75" customHeight="1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ht="15.75" customHeight="1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ht="15.75" customHeight="1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ht="15.75" customHeight="1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ht="15.75" customHeight="1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ht="15.75" customHeight="1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ht="15.75" customHeight="1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ht="15.75" customHeight="1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ht="15.75" customHeight="1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ht="15.75" customHeight="1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ht="15.75" customHeight="1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ht="15.75" customHeight="1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ht="15.75" customHeight="1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ht="15.75" customHeight="1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ht="15.75" customHeight="1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ht="15.75" customHeight="1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ht="15.75" customHeight="1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ht="15.75" customHeight="1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ht="15.75" customHeight="1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ht="15.75" customHeight="1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ht="15.75" customHeight="1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ht="15.75" customHeight="1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ht="15.75" customHeight="1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ht="15.75" customHeight="1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ht="15.75" customHeight="1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ht="15.75" customHeight="1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ht="15.75" customHeight="1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ht="15.75" customHeight="1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ht="15.75" customHeight="1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ht="15.75" customHeight="1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ht="15.75" customHeight="1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ht="15.75" customHeight="1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ht="15.75" customHeight="1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ht="15.75" customHeight="1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ht="15.75" customHeight="1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ht="15.75" customHeight="1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ht="15.75" customHeight="1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ht="15.75" customHeight="1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ht="15.75" customHeight="1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ht="15.75" customHeight="1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ht="15.75" customHeight="1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ht="15.75" customHeight="1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ht="15.75" customHeight="1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ht="15.75" customHeight="1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ht="15.75" customHeight="1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ht="15.75" customHeight="1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ht="15.75" customHeight="1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ht="15.75" customHeight="1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ht="15.75" customHeight="1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ht="15.75" customHeight="1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ht="15.75" customHeight="1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ht="15.75" customHeight="1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ht="15.75" customHeight="1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ht="15.75" customHeight="1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ht="15.75" customHeight="1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ht="15.75" customHeight="1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ht="15.75" customHeight="1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ht="15.75" customHeight="1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ht="15.75" customHeight="1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ht="15.75" customHeight="1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ht="15.75" customHeight="1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ht="15.75" customHeight="1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ht="15.75" customHeight="1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ht="15.75" customHeight="1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ht="15.75" customHeight="1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ht="15.75" customHeight="1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ht="15.75" customHeight="1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ht="15.75" customHeight="1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ht="15.75" customHeight="1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ht="15.75" customHeight="1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ht="15.75" customHeight="1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ht="15.75" customHeight="1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ht="15.75" customHeight="1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ht="15.75" customHeight="1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ht="15.75" customHeight="1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ht="15.75" customHeight="1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ht="15.75" customHeight="1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ht="15.75" customHeight="1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ht="15.75" customHeight="1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ht="15.75" customHeight="1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ht="15.75" customHeight="1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ht="15.75" customHeight="1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ht="15.75" customHeight="1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ht="15.75" customHeight="1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ht="15.75" customHeight="1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ht="15.75" customHeight="1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ht="15.75" customHeight="1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ht="15.75" customHeight="1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ht="15.75" customHeight="1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ht="15.75" customHeight="1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ht="15.75" customHeight="1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ht="15.75" customHeight="1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ht="15.75" customHeight="1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ht="15.75" customHeight="1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ht="15.75" customHeight="1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ht="15.75" customHeight="1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ht="15.75" customHeight="1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ht="15.75" customHeight="1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ht="15.75" customHeight="1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ht="15.75" customHeight="1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ht="15.75" customHeight="1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ht="15.75" customHeight="1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ht="15.75" customHeight="1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ht="15.75" customHeight="1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ht="15.75" customHeight="1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ht="15.75" customHeight="1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ht="15.75" customHeight="1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ht="15.75" customHeight="1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ht="15.75" customHeight="1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ht="15.75" customHeight="1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ht="15.75" customHeight="1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ht="15.75" customHeight="1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ht="15.75" customHeight="1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ht="15.75" customHeight="1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ht="15.75" customHeight="1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ht="15.75" customHeight="1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ht="15.75" customHeight="1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ht="15.75" customHeight="1">
      <c r="C372" s="19"/>
    </row>
    <row r="373" ht="15.75" customHeight="1">
      <c r="C373" s="19"/>
    </row>
    <row r="374" ht="15.75" customHeight="1">
      <c r="C374" s="19"/>
    </row>
    <row r="375" ht="15.75" customHeight="1">
      <c r="C375" s="19"/>
    </row>
    <row r="376" ht="15.75" customHeight="1">
      <c r="C376" s="19"/>
    </row>
    <row r="377" ht="15.75" customHeight="1">
      <c r="C377" s="19"/>
    </row>
    <row r="378" ht="15.75" customHeight="1">
      <c r="C378" s="19"/>
    </row>
    <row r="379" ht="15.75" customHeight="1">
      <c r="C379" s="19"/>
    </row>
    <row r="380" ht="15.75" customHeight="1">
      <c r="C380" s="19"/>
    </row>
    <row r="381" ht="15.75" customHeight="1">
      <c r="C381" s="19"/>
    </row>
    <row r="382" ht="15.75" customHeight="1">
      <c r="C382" s="19"/>
    </row>
    <row r="383" ht="15.75" customHeight="1">
      <c r="C383" s="19"/>
    </row>
    <row r="384" ht="15.75" customHeight="1">
      <c r="C384" s="19"/>
    </row>
    <row r="385" ht="15.75" customHeight="1">
      <c r="C385" s="19"/>
    </row>
    <row r="386" ht="15.75" customHeight="1">
      <c r="C386" s="19"/>
    </row>
    <row r="387" ht="15.75" customHeight="1">
      <c r="C387" s="19"/>
    </row>
    <row r="388" ht="15.75" customHeight="1">
      <c r="C388" s="19"/>
    </row>
    <row r="389" ht="15.75" customHeight="1">
      <c r="C389" s="19"/>
    </row>
    <row r="390" ht="15.75" customHeight="1">
      <c r="C390" s="19"/>
    </row>
    <row r="391" ht="15.75" customHeight="1">
      <c r="C391" s="19"/>
    </row>
    <row r="392" ht="15.75" customHeight="1">
      <c r="C392" s="19"/>
    </row>
    <row r="393" ht="15.75" customHeight="1">
      <c r="C393" s="19"/>
    </row>
    <row r="394" ht="15.75" customHeight="1">
      <c r="C394" s="19"/>
    </row>
    <row r="395" ht="15.75" customHeight="1">
      <c r="C395" s="19"/>
    </row>
    <row r="396" ht="15.75" customHeight="1">
      <c r="C396" s="19"/>
    </row>
    <row r="397" ht="15.75" customHeight="1">
      <c r="C397" s="19"/>
    </row>
    <row r="398" ht="15.75" customHeight="1">
      <c r="C398" s="19"/>
    </row>
    <row r="399" ht="15.75" customHeight="1">
      <c r="C399" s="19"/>
    </row>
    <row r="400" ht="15.75" customHeight="1">
      <c r="C400" s="19"/>
    </row>
    <row r="401" ht="15.75" customHeight="1">
      <c r="C401" s="19"/>
    </row>
    <row r="402" ht="15.75" customHeight="1">
      <c r="C402" s="19"/>
    </row>
    <row r="403" ht="15.75" customHeight="1">
      <c r="C403" s="19"/>
    </row>
    <row r="404" ht="15.75" customHeight="1">
      <c r="C404" s="19"/>
    </row>
    <row r="405" ht="15.75" customHeight="1">
      <c r="C405" s="19"/>
    </row>
    <row r="406" ht="15.75" customHeight="1">
      <c r="C406" s="19"/>
    </row>
    <row r="407" ht="15.75" customHeight="1">
      <c r="C407" s="19"/>
    </row>
    <row r="408" ht="15.75" customHeight="1">
      <c r="C408" s="19"/>
    </row>
    <row r="409" ht="15.75" customHeight="1">
      <c r="C409" s="19"/>
    </row>
    <row r="410" ht="15.75" customHeight="1">
      <c r="C410" s="19"/>
    </row>
    <row r="411" ht="15.75" customHeight="1">
      <c r="C411" s="19"/>
    </row>
    <row r="412" ht="15.75" customHeight="1">
      <c r="C412" s="19"/>
    </row>
    <row r="413" ht="15.75" customHeight="1">
      <c r="C413" s="19"/>
    </row>
    <row r="414" ht="15.75" customHeight="1">
      <c r="C414" s="19"/>
    </row>
    <row r="415" ht="15.75" customHeight="1">
      <c r="C415" s="19"/>
    </row>
    <row r="416" ht="15.75" customHeight="1">
      <c r="C416" s="19"/>
    </row>
    <row r="417" ht="15.75" customHeight="1">
      <c r="C417" s="19"/>
    </row>
    <row r="418" ht="15.75" customHeight="1">
      <c r="C418" s="19"/>
    </row>
    <row r="419" ht="15.75" customHeight="1">
      <c r="C419" s="19"/>
    </row>
    <row r="420" ht="15.75" customHeight="1">
      <c r="C420" s="19"/>
    </row>
    <row r="421" ht="15.75" customHeight="1">
      <c r="C421" s="19"/>
    </row>
    <row r="422" ht="15.75" customHeight="1">
      <c r="C422" s="19"/>
    </row>
    <row r="423" ht="15.75" customHeight="1">
      <c r="C423" s="19"/>
    </row>
    <row r="424" ht="15.75" customHeight="1">
      <c r="C424" s="19"/>
    </row>
    <row r="425" ht="15.75" customHeight="1">
      <c r="C425" s="19"/>
    </row>
    <row r="426" ht="15.75" customHeight="1">
      <c r="C426" s="19"/>
    </row>
    <row r="427" ht="15.75" customHeight="1">
      <c r="C427" s="19"/>
    </row>
    <row r="428" ht="15.75" customHeight="1">
      <c r="C428" s="19"/>
    </row>
    <row r="429" ht="15.75" customHeight="1">
      <c r="C429" s="19"/>
    </row>
    <row r="430" ht="15.75" customHeight="1">
      <c r="C430" s="19"/>
    </row>
    <row r="431" ht="15.75" customHeight="1">
      <c r="C431" s="19"/>
    </row>
    <row r="432" ht="15.75" customHeight="1">
      <c r="C432" s="19"/>
    </row>
    <row r="433" ht="15.75" customHeight="1">
      <c r="C433" s="19"/>
    </row>
    <row r="434" ht="15.75" customHeight="1">
      <c r="C434" s="19"/>
    </row>
    <row r="435" ht="15.75" customHeight="1">
      <c r="C435" s="19"/>
    </row>
    <row r="436" ht="15.75" customHeight="1">
      <c r="C436" s="19"/>
    </row>
    <row r="437" ht="15.75" customHeight="1">
      <c r="C437" s="19"/>
    </row>
    <row r="438" ht="15.75" customHeight="1">
      <c r="C438" s="19"/>
    </row>
    <row r="439" ht="15.75" customHeight="1">
      <c r="C439" s="19"/>
    </row>
    <row r="440" ht="15.75" customHeight="1">
      <c r="C440" s="19"/>
    </row>
    <row r="441" ht="15.75" customHeight="1">
      <c r="C441" s="19"/>
    </row>
    <row r="442" ht="15.75" customHeight="1">
      <c r="C442" s="19"/>
    </row>
    <row r="443" ht="15.75" customHeight="1">
      <c r="C443" s="19"/>
    </row>
    <row r="444" ht="15.75" customHeight="1">
      <c r="C444" s="19"/>
    </row>
    <row r="445" ht="15.75" customHeight="1">
      <c r="C445" s="19"/>
    </row>
    <row r="446" ht="15.75" customHeight="1">
      <c r="C446" s="19"/>
    </row>
    <row r="447" ht="15.75" customHeight="1">
      <c r="C447" s="19"/>
    </row>
    <row r="448" ht="15.75" customHeight="1">
      <c r="C448" s="19"/>
    </row>
    <row r="449" ht="15.75" customHeight="1">
      <c r="C449" s="19"/>
    </row>
    <row r="450" ht="15.75" customHeight="1">
      <c r="C450" s="19"/>
    </row>
    <row r="451" ht="15.75" customHeight="1">
      <c r="C451" s="19"/>
    </row>
    <row r="452" ht="15.75" customHeight="1">
      <c r="C452" s="19"/>
    </row>
    <row r="453" ht="15.75" customHeight="1">
      <c r="C453" s="19"/>
    </row>
    <row r="454" ht="15.75" customHeight="1">
      <c r="C454" s="19"/>
    </row>
    <row r="455" ht="15.75" customHeight="1">
      <c r="C455" s="19"/>
    </row>
    <row r="456" ht="15.75" customHeight="1">
      <c r="C456" s="19"/>
    </row>
    <row r="457" ht="15.75" customHeight="1">
      <c r="C457" s="19"/>
    </row>
    <row r="458" ht="15.75" customHeight="1">
      <c r="C458" s="19"/>
    </row>
    <row r="459" ht="15.75" customHeight="1">
      <c r="C459" s="19"/>
    </row>
    <row r="460" ht="15.75" customHeight="1">
      <c r="C460" s="19"/>
    </row>
    <row r="461" ht="15.75" customHeight="1">
      <c r="C461" s="19"/>
    </row>
    <row r="462" ht="15.75" customHeight="1">
      <c r="C462" s="19"/>
    </row>
    <row r="463" ht="15.75" customHeight="1">
      <c r="C463" s="19"/>
    </row>
    <row r="464" ht="15.75" customHeight="1">
      <c r="C464" s="19"/>
    </row>
    <row r="465" ht="15.75" customHeight="1">
      <c r="C465" s="19"/>
    </row>
    <row r="466" ht="15.75" customHeight="1">
      <c r="C466" s="19"/>
    </row>
    <row r="467" ht="15.75" customHeight="1">
      <c r="C467" s="19"/>
    </row>
    <row r="468" ht="15.75" customHeight="1">
      <c r="C468" s="19"/>
    </row>
    <row r="469" ht="15.75" customHeight="1">
      <c r="C469" s="19"/>
    </row>
    <row r="470" ht="15.75" customHeight="1">
      <c r="C470" s="19"/>
    </row>
    <row r="471" ht="15.75" customHeight="1">
      <c r="C471" s="19"/>
    </row>
    <row r="472" ht="15.75" customHeight="1">
      <c r="C472" s="19"/>
    </row>
    <row r="473" ht="15.75" customHeight="1">
      <c r="C473" s="19"/>
    </row>
    <row r="474" ht="15.75" customHeight="1">
      <c r="C474" s="19"/>
    </row>
    <row r="475" ht="15.75" customHeight="1">
      <c r="C475" s="19"/>
    </row>
    <row r="476" ht="15.75" customHeight="1">
      <c r="C476" s="19"/>
    </row>
    <row r="477" ht="15.75" customHeight="1">
      <c r="C477" s="19"/>
    </row>
    <row r="478" ht="15.75" customHeight="1">
      <c r="C478" s="19"/>
    </row>
    <row r="479" ht="15.75" customHeight="1">
      <c r="C479" s="19"/>
    </row>
    <row r="480" ht="15.75" customHeight="1">
      <c r="C480" s="19"/>
    </row>
    <row r="481" ht="15.75" customHeight="1">
      <c r="C481" s="19"/>
    </row>
    <row r="482" ht="15.75" customHeight="1">
      <c r="C482" s="19"/>
    </row>
    <row r="483" ht="15.75" customHeight="1">
      <c r="C483" s="19"/>
    </row>
    <row r="484" ht="15.75" customHeight="1">
      <c r="C484" s="19"/>
    </row>
    <row r="485" ht="15.75" customHeight="1">
      <c r="C485" s="19"/>
    </row>
    <row r="486" ht="15.75" customHeight="1">
      <c r="C486" s="19"/>
    </row>
    <row r="487" ht="15.75" customHeight="1">
      <c r="C487" s="19"/>
    </row>
    <row r="488" ht="15.75" customHeight="1">
      <c r="C488" s="19"/>
    </row>
    <row r="489" ht="15.75" customHeight="1">
      <c r="C489" s="19"/>
    </row>
    <row r="490" ht="15.75" customHeight="1">
      <c r="C490" s="19"/>
    </row>
    <row r="491" ht="15.75" customHeight="1">
      <c r="C491" s="19"/>
    </row>
    <row r="492" ht="15.75" customHeight="1">
      <c r="C492" s="19"/>
    </row>
    <row r="493" ht="15.75" customHeight="1">
      <c r="C493" s="19"/>
    </row>
    <row r="494" ht="15.75" customHeight="1">
      <c r="C494" s="19"/>
    </row>
    <row r="495" ht="15.75" customHeight="1">
      <c r="C495" s="19"/>
    </row>
    <row r="496" ht="15.75" customHeight="1">
      <c r="C496" s="19"/>
    </row>
    <row r="497" ht="15.75" customHeight="1">
      <c r="C497" s="19"/>
    </row>
    <row r="498" ht="15.75" customHeight="1">
      <c r="C498" s="19"/>
    </row>
    <row r="499" ht="15.75" customHeight="1">
      <c r="C499" s="19"/>
    </row>
    <row r="500" ht="15.75" customHeight="1">
      <c r="C500" s="19"/>
    </row>
    <row r="501" ht="15.75" customHeight="1">
      <c r="C501" s="19"/>
    </row>
    <row r="502" ht="15.75" customHeight="1">
      <c r="C502" s="19"/>
    </row>
    <row r="503" ht="15.75" customHeight="1">
      <c r="C503" s="19"/>
    </row>
    <row r="504" ht="15.75" customHeight="1">
      <c r="C504" s="19"/>
    </row>
    <row r="505" ht="15.75" customHeight="1">
      <c r="C505" s="19"/>
    </row>
    <row r="506" ht="15.75" customHeight="1">
      <c r="C506" s="19"/>
    </row>
    <row r="507" ht="15.75" customHeight="1">
      <c r="C507" s="19"/>
    </row>
    <row r="508" ht="15.75" customHeight="1">
      <c r="C508" s="19"/>
    </row>
    <row r="509" ht="15.75" customHeight="1">
      <c r="C509" s="19"/>
    </row>
    <row r="510" ht="15.75" customHeight="1">
      <c r="C510" s="19"/>
    </row>
    <row r="511" ht="15.75" customHeight="1">
      <c r="C511" s="19"/>
    </row>
    <row r="512" ht="15.75" customHeight="1">
      <c r="C512" s="19"/>
    </row>
    <row r="513" ht="15.75" customHeight="1">
      <c r="C513" s="19"/>
    </row>
    <row r="514" ht="15.75" customHeight="1">
      <c r="C514" s="19"/>
    </row>
    <row r="515" ht="15.75" customHeight="1">
      <c r="C515" s="19"/>
    </row>
    <row r="516" ht="15.75" customHeight="1">
      <c r="C516" s="19"/>
    </row>
    <row r="517" ht="15.75" customHeight="1">
      <c r="C517" s="19"/>
    </row>
    <row r="518" ht="15.75" customHeight="1">
      <c r="C518" s="19"/>
    </row>
    <row r="519" ht="15.75" customHeight="1">
      <c r="C519" s="19"/>
    </row>
    <row r="520" ht="15.75" customHeight="1">
      <c r="C520" s="19"/>
    </row>
    <row r="521" ht="15.75" customHeight="1">
      <c r="C521" s="19"/>
    </row>
    <row r="522" ht="15.75" customHeight="1">
      <c r="C522" s="19"/>
    </row>
    <row r="523" ht="15.75" customHeight="1">
      <c r="C523" s="19"/>
    </row>
    <row r="524" ht="15.75" customHeight="1">
      <c r="C524" s="19"/>
    </row>
    <row r="525" ht="15.75" customHeight="1">
      <c r="C525" s="19"/>
    </row>
    <row r="526" ht="15.75" customHeight="1">
      <c r="C526" s="19"/>
    </row>
    <row r="527" ht="15.75" customHeight="1">
      <c r="C527" s="19"/>
    </row>
    <row r="528" ht="15.75" customHeight="1">
      <c r="C528" s="19"/>
    </row>
    <row r="529" ht="15.75" customHeight="1">
      <c r="C529" s="19"/>
    </row>
    <row r="530" ht="15.75" customHeight="1">
      <c r="C530" s="19"/>
    </row>
    <row r="531" ht="15.75" customHeight="1">
      <c r="C531" s="19"/>
    </row>
    <row r="532" ht="15.75" customHeight="1">
      <c r="C532" s="19"/>
    </row>
    <row r="533" ht="15.75" customHeight="1">
      <c r="C533" s="19"/>
    </row>
    <row r="534" ht="15.75" customHeight="1">
      <c r="C534" s="19"/>
    </row>
    <row r="535" ht="15.75" customHeight="1">
      <c r="C535" s="19"/>
    </row>
    <row r="536" ht="15.75" customHeight="1">
      <c r="C536" s="19"/>
    </row>
    <row r="537" ht="15.75" customHeight="1">
      <c r="C537" s="19"/>
    </row>
    <row r="538" ht="15.75" customHeight="1">
      <c r="C538" s="19"/>
    </row>
    <row r="539" ht="15.75" customHeight="1">
      <c r="C539" s="19"/>
    </row>
    <row r="540" ht="15.75" customHeight="1">
      <c r="C540" s="19"/>
    </row>
    <row r="541" ht="15.75" customHeight="1">
      <c r="C541" s="19"/>
    </row>
    <row r="542" ht="15.75" customHeight="1">
      <c r="C542" s="19"/>
    </row>
    <row r="543" ht="15.75" customHeight="1">
      <c r="C543" s="19"/>
    </row>
    <row r="544" ht="15.75" customHeight="1">
      <c r="C544" s="19"/>
    </row>
    <row r="545" ht="15.75" customHeight="1">
      <c r="C545" s="19"/>
    </row>
    <row r="546" ht="15.75" customHeight="1">
      <c r="C546" s="19"/>
    </row>
    <row r="547" ht="15.75" customHeight="1">
      <c r="C547" s="19"/>
    </row>
    <row r="548" ht="15.75" customHeight="1">
      <c r="C548" s="19"/>
    </row>
    <row r="549" ht="15.75" customHeight="1">
      <c r="C549" s="19"/>
    </row>
    <row r="550" ht="15.75" customHeight="1">
      <c r="C550" s="19"/>
    </row>
    <row r="551" ht="15.75" customHeight="1">
      <c r="C551" s="19"/>
    </row>
    <row r="552" ht="15.75" customHeight="1">
      <c r="C552" s="19"/>
    </row>
    <row r="553" ht="15.75" customHeight="1">
      <c r="C553" s="19"/>
    </row>
    <row r="554" ht="15.75" customHeight="1">
      <c r="C554" s="19"/>
    </row>
    <row r="555" ht="15.75" customHeight="1">
      <c r="C555" s="19"/>
    </row>
    <row r="556" ht="15.75" customHeight="1">
      <c r="C556" s="19"/>
    </row>
    <row r="557" ht="15.75" customHeight="1">
      <c r="C557" s="19"/>
    </row>
    <row r="558" ht="15.75" customHeight="1">
      <c r="C558" s="19"/>
    </row>
    <row r="559" ht="15.75" customHeight="1">
      <c r="C559" s="19"/>
    </row>
    <row r="560" ht="15.75" customHeight="1">
      <c r="C560" s="19"/>
    </row>
    <row r="561" ht="15.75" customHeight="1">
      <c r="C561" s="19"/>
    </row>
    <row r="562" ht="15.75" customHeight="1">
      <c r="C562" s="19"/>
    </row>
    <row r="563" ht="15.75" customHeight="1">
      <c r="C563" s="19"/>
    </row>
    <row r="564" ht="15.75" customHeight="1">
      <c r="C564" s="19"/>
    </row>
    <row r="565" ht="15.75" customHeight="1">
      <c r="C565" s="19"/>
    </row>
    <row r="566" ht="15.75" customHeight="1">
      <c r="C566" s="19"/>
    </row>
    <row r="567" ht="15.75" customHeight="1">
      <c r="C567" s="19"/>
    </row>
    <row r="568" ht="15.75" customHeight="1">
      <c r="C568" s="19"/>
    </row>
    <row r="569" ht="15.75" customHeight="1">
      <c r="C569" s="19"/>
    </row>
    <row r="570" ht="15.75" customHeight="1">
      <c r="C570" s="19"/>
    </row>
    <row r="571" ht="15.75" customHeight="1">
      <c r="C571" s="19"/>
    </row>
    <row r="572" ht="15.75" customHeight="1">
      <c r="C572" s="19"/>
    </row>
    <row r="573" ht="15.75" customHeight="1">
      <c r="C573" s="19"/>
    </row>
    <row r="574" ht="15.75" customHeight="1">
      <c r="C574" s="19"/>
    </row>
    <row r="575" ht="15.75" customHeight="1">
      <c r="C575" s="19"/>
    </row>
    <row r="576" ht="15.75" customHeight="1">
      <c r="C576" s="19"/>
    </row>
    <row r="577" ht="15.75" customHeight="1">
      <c r="C577" s="19"/>
    </row>
    <row r="578" ht="15.75" customHeight="1">
      <c r="C578" s="19"/>
    </row>
    <row r="579" ht="15.75" customHeight="1">
      <c r="C579" s="19"/>
    </row>
    <row r="580" ht="15.75" customHeight="1">
      <c r="C580" s="19"/>
    </row>
    <row r="581" ht="15.75" customHeight="1">
      <c r="C581" s="19"/>
    </row>
    <row r="582" ht="15.75" customHeight="1">
      <c r="C582" s="19"/>
    </row>
    <row r="583" ht="15.75" customHeight="1">
      <c r="C583" s="19"/>
    </row>
    <row r="584" ht="15.75" customHeight="1">
      <c r="C584" s="19"/>
    </row>
    <row r="585" ht="15.75" customHeight="1">
      <c r="C585" s="19"/>
    </row>
    <row r="586" ht="15.75" customHeight="1">
      <c r="C586" s="19"/>
    </row>
    <row r="587" ht="15.75" customHeight="1">
      <c r="C587" s="19"/>
    </row>
    <row r="588" ht="15.75" customHeight="1">
      <c r="C588" s="19"/>
    </row>
    <row r="589" ht="15.75" customHeight="1">
      <c r="C589" s="19"/>
    </row>
    <row r="590" ht="15.75" customHeight="1">
      <c r="C590" s="19"/>
    </row>
    <row r="591" ht="15.75" customHeight="1">
      <c r="C591" s="19"/>
    </row>
    <row r="592" ht="15.75" customHeight="1">
      <c r="C592" s="19"/>
    </row>
    <row r="593" ht="15.75" customHeight="1">
      <c r="C593" s="19"/>
    </row>
    <row r="594" ht="15.75" customHeight="1">
      <c r="C594" s="19"/>
    </row>
    <row r="595" ht="15.75" customHeight="1">
      <c r="C595" s="19"/>
    </row>
    <row r="596" ht="15.75" customHeight="1">
      <c r="C596" s="19"/>
    </row>
    <row r="597" ht="15.75" customHeight="1">
      <c r="C597" s="19"/>
    </row>
    <row r="598" ht="15.75" customHeight="1">
      <c r="C598" s="19"/>
    </row>
    <row r="599" ht="15.75" customHeight="1">
      <c r="C599" s="19"/>
    </row>
    <row r="600" ht="15.75" customHeight="1">
      <c r="C600" s="19"/>
    </row>
    <row r="601" ht="15.75" customHeight="1">
      <c r="C601" s="19"/>
    </row>
    <row r="602" ht="15.75" customHeight="1">
      <c r="C602" s="19"/>
    </row>
    <row r="603" ht="15.75" customHeight="1">
      <c r="C603" s="19"/>
    </row>
    <row r="604" ht="15.75" customHeight="1">
      <c r="C604" s="19"/>
    </row>
    <row r="605" ht="15.75" customHeight="1">
      <c r="C605" s="19"/>
    </row>
    <row r="606" ht="15.75" customHeight="1">
      <c r="C606" s="19"/>
    </row>
    <row r="607" ht="15.75" customHeight="1">
      <c r="C607" s="19"/>
    </row>
    <row r="608" ht="15.75" customHeight="1">
      <c r="C608" s="19"/>
    </row>
    <row r="609" ht="15.75" customHeight="1">
      <c r="C609" s="19"/>
    </row>
    <row r="610" ht="15.75" customHeight="1">
      <c r="C610" s="19"/>
    </row>
    <row r="611" ht="15.75" customHeight="1">
      <c r="C611" s="19"/>
    </row>
    <row r="612" ht="15.75" customHeight="1">
      <c r="C612" s="19"/>
    </row>
    <row r="613" ht="15.75" customHeight="1">
      <c r="C613" s="19"/>
    </row>
    <row r="614" ht="15.75" customHeight="1">
      <c r="C614" s="19"/>
    </row>
    <row r="615" ht="15.75" customHeight="1">
      <c r="C615" s="19"/>
    </row>
    <row r="616" ht="15.75" customHeight="1">
      <c r="C616" s="19"/>
    </row>
    <row r="617" ht="15.75" customHeight="1">
      <c r="C617" s="19"/>
    </row>
    <row r="618" ht="15.75" customHeight="1">
      <c r="C618" s="19"/>
    </row>
    <row r="619" ht="15.75" customHeight="1">
      <c r="C619" s="19"/>
    </row>
    <row r="620" ht="15.75" customHeight="1">
      <c r="C620" s="19"/>
    </row>
    <row r="621" ht="15.75" customHeight="1">
      <c r="C621" s="19"/>
    </row>
    <row r="622" ht="15.75" customHeight="1">
      <c r="C622" s="19"/>
    </row>
    <row r="623" ht="15.75" customHeight="1">
      <c r="C623" s="19"/>
    </row>
    <row r="624" ht="15.75" customHeight="1">
      <c r="C624" s="19"/>
    </row>
    <row r="625" ht="15.75" customHeight="1">
      <c r="C625" s="19"/>
    </row>
    <row r="626" ht="15.75" customHeight="1">
      <c r="C626" s="19"/>
    </row>
    <row r="627" ht="15.75" customHeight="1">
      <c r="C627" s="19"/>
    </row>
    <row r="628" ht="15.75" customHeight="1">
      <c r="C628" s="19"/>
    </row>
    <row r="629" ht="15.75" customHeight="1">
      <c r="C629" s="19"/>
    </row>
    <row r="630" ht="15.75" customHeight="1">
      <c r="C630" s="19"/>
    </row>
    <row r="631" ht="15.75" customHeight="1">
      <c r="C631" s="19"/>
    </row>
    <row r="632" ht="15.75" customHeight="1">
      <c r="C632" s="19"/>
    </row>
    <row r="633" ht="15.75" customHeight="1">
      <c r="C633" s="19"/>
    </row>
    <row r="634" ht="15.75" customHeight="1">
      <c r="C634" s="19"/>
    </row>
    <row r="635" ht="15.75" customHeight="1">
      <c r="C635" s="19"/>
    </row>
    <row r="636" ht="15.75" customHeight="1">
      <c r="C636" s="19"/>
    </row>
    <row r="637" ht="15.75" customHeight="1">
      <c r="C637" s="19"/>
    </row>
    <row r="638" ht="15.75" customHeight="1">
      <c r="C638" s="19"/>
    </row>
    <row r="639" ht="15.75" customHeight="1">
      <c r="C639" s="19"/>
    </row>
    <row r="640" ht="15.75" customHeight="1">
      <c r="C640" s="19"/>
    </row>
    <row r="641" ht="15.75" customHeight="1">
      <c r="C641" s="19"/>
    </row>
    <row r="642" ht="15.75" customHeight="1">
      <c r="C642" s="19"/>
    </row>
    <row r="643" ht="15.75" customHeight="1">
      <c r="C643" s="19"/>
    </row>
    <row r="644" ht="15.75" customHeight="1">
      <c r="C644" s="19"/>
    </row>
    <row r="645" ht="15.75" customHeight="1">
      <c r="C645" s="19"/>
    </row>
    <row r="646" ht="15.75" customHeight="1">
      <c r="C646" s="19"/>
    </row>
    <row r="647" ht="15.75" customHeight="1">
      <c r="C647" s="19"/>
    </row>
    <row r="648" ht="15.75" customHeight="1">
      <c r="C648" s="19"/>
    </row>
    <row r="649" ht="15.75" customHeight="1">
      <c r="C649" s="19"/>
    </row>
    <row r="650" ht="15.75" customHeight="1">
      <c r="C650" s="19"/>
    </row>
    <row r="651" ht="15.75" customHeight="1">
      <c r="C651" s="19"/>
    </row>
    <row r="652" ht="15.75" customHeight="1">
      <c r="C652" s="19"/>
    </row>
    <row r="653" ht="15.75" customHeight="1">
      <c r="C653" s="19"/>
    </row>
    <row r="654" ht="15.75" customHeight="1">
      <c r="C654" s="19"/>
    </row>
    <row r="655" ht="15.75" customHeight="1">
      <c r="C655" s="19"/>
    </row>
    <row r="656" ht="15.75" customHeight="1">
      <c r="C656" s="19"/>
    </row>
    <row r="657" ht="15.75" customHeight="1">
      <c r="C657" s="19"/>
    </row>
    <row r="658" ht="15.75" customHeight="1">
      <c r="C658" s="19"/>
    </row>
    <row r="659" ht="15.75" customHeight="1">
      <c r="C659" s="19"/>
    </row>
    <row r="660" ht="15.75" customHeight="1">
      <c r="C660" s="19"/>
    </row>
    <row r="661" ht="15.75" customHeight="1">
      <c r="C661" s="19"/>
    </row>
    <row r="662" ht="15.75" customHeight="1">
      <c r="C662" s="19"/>
    </row>
    <row r="663" ht="15.75" customHeight="1">
      <c r="C663" s="19"/>
    </row>
    <row r="664" ht="15.75" customHeight="1">
      <c r="C664" s="19"/>
    </row>
    <row r="665" ht="15.75" customHeight="1">
      <c r="C665" s="19"/>
    </row>
    <row r="666" ht="15.75" customHeight="1">
      <c r="C666" s="19"/>
    </row>
    <row r="667" ht="15.75" customHeight="1">
      <c r="C667" s="19"/>
    </row>
    <row r="668" ht="15.75" customHeight="1">
      <c r="C668" s="19"/>
    </row>
    <row r="669" ht="15.75" customHeight="1">
      <c r="C669" s="19"/>
    </row>
    <row r="670" ht="15.75" customHeight="1">
      <c r="C670" s="19"/>
    </row>
    <row r="671" ht="15.75" customHeight="1">
      <c r="C671" s="19"/>
    </row>
    <row r="672" ht="15.75" customHeight="1">
      <c r="C672" s="19"/>
    </row>
    <row r="673" ht="15.75" customHeight="1">
      <c r="C673" s="19"/>
    </row>
    <row r="674" ht="15.75" customHeight="1">
      <c r="C674" s="19"/>
    </row>
    <row r="675" ht="15.75" customHeight="1">
      <c r="C675" s="19"/>
    </row>
    <row r="676" ht="15.75" customHeight="1">
      <c r="C676" s="19"/>
    </row>
    <row r="677" ht="15.75" customHeight="1">
      <c r="C677" s="19"/>
    </row>
    <row r="678" ht="15.75" customHeight="1">
      <c r="C678" s="19"/>
    </row>
    <row r="679" ht="15.75" customHeight="1">
      <c r="C679" s="19"/>
    </row>
    <row r="680" ht="15.75" customHeight="1">
      <c r="C680" s="19"/>
    </row>
    <row r="681" ht="15.75" customHeight="1">
      <c r="C681" s="19"/>
    </row>
    <row r="682" ht="15.75" customHeight="1">
      <c r="C682" s="19"/>
    </row>
    <row r="683" ht="15.75" customHeight="1">
      <c r="C683" s="19"/>
    </row>
    <row r="684" ht="15.75" customHeight="1">
      <c r="C684" s="19"/>
    </row>
    <row r="685" ht="15.75" customHeight="1">
      <c r="C685" s="19"/>
    </row>
    <row r="686" ht="15.75" customHeight="1">
      <c r="C686" s="19"/>
    </row>
    <row r="687" ht="15.75" customHeight="1">
      <c r="C687" s="19"/>
    </row>
    <row r="688" ht="15.75" customHeight="1">
      <c r="C688" s="19"/>
    </row>
    <row r="689" ht="15.75" customHeight="1">
      <c r="C689" s="19"/>
    </row>
    <row r="690" ht="15.75" customHeight="1">
      <c r="C690" s="19"/>
    </row>
    <row r="691" ht="15.75" customHeight="1">
      <c r="C691" s="19"/>
    </row>
    <row r="692" ht="15.75" customHeight="1">
      <c r="C692" s="19"/>
    </row>
    <row r="693" ht="15.75" customHeight="1">
      <c r="C693" s="19"/>
    </row>
    <row r="694" ht="15.75" customHeight="1">
      <c r="C694" s="19"/>
    </row>
    <row r="695" ht="15.75" customHeight="1">
      <c r="C695" s="19"/>
    </row>
    <row r="696" ht="15.75" customHeight="1">
      <c r="C696" s="19"/>
    </row>
    <row r="697" ht="15.75" customHeight="1">
      <c r="C697" s="19"/>
    </row>
    <row r="698" ht="15.75" customHeight="1">
      <c r="C698" s="19"/>
    </row>
    <row r="699" ht="15.75" customHeight="1">
      <c r="C699" s="19"/>
    </row>
    <row r="700" ht="15.75" customHeight="1">
      <c r="C700" s="19"/>
    </row>
    <row r="701" ht="15.75" customHeight="1">
      <c r="C701" s="19"/>
    </row>
    <row r="702" ht="15.75" customHeight="1">
      <c r="C702" s="19"/>
    </row>
    <row r="703" ht="15.75" customHeight="1">
      <c r="C703" s="19"/>
    </row>
    <row r="704" ht="15.75" customHeight="1">
      <c r="C704" s="19"/>
    </row>
    <row r="705" ht="15.75" customHeight="1">
      <c r="C705" s="19"/>
    </row>
    <row r="706" ht="15.75" customHeight="1">
      <c r="C706" s="19"/>
    </row>
    <row r="707" ht="15.75" customHeight="1">
      <c r="C707" s="19"/>
    </row>
    <row r="708" ht="15.75" customHeight="1">
      <c r="C708" s="19"/>
    </row>
    <row r="709" ht="15.75" customHeight="1">
      <c r="C709" s="19"/>
    </row>
    <row r="710" ht="15.75" customHeight="1">
      <c r="C710" s="19"/>
    </row>
    <row r="711" ht="15.75" customHeight="1">
      <c r="C711" s="19"/>
    </row>
    <row r="712" ht="15.75" customHeight="1">
      <c r="C712" s="19"/>
    </row>
    <row r="713" ht="15.75" customHeight="1">
      <c r="C713" s="19"/>
    </row>
    <row r="714" ht="15.75" customHeight="1">
      <c r="C714" s="19"/>
    </row>
    <row r="715" ht="15.75" customHeight="1">
      <c r="C715" s="19"/>
    </row>
    <row r="716" ht="15.75" customHeight="1">
      <c r="C716" s="19"/>
    </row>
    <row r="717" ht="15.75" customHeight="1">
      <c r="C717" s="19"/>
    </row>
    <row r="718" ht="15.75" customHeight="1">
      <c r="C718" s="19"/>
    </row>
    <row r="719" ht="15.75" customHeight="1">
      <c r="C719" s="19"/>
    </row>
    <row r="720" ht="15.75" customHeight="1">
      <c r="C720" s="19"/>
    </row>
    <row r="721" ht="15.75" customHeight="1">
      <c r="C721" s="19"/>
    </row>
    <row r="722" ht="15.75" customHeight="1">
      <c r="C722" s="19"/>
    </row>
    <row r="723" ht="15.75" customHeight="1">
      <c r="C723" s="19"/>
    </row>
    <row r="724" ht="15.75" customHeight="1">
      <c r="C724" s="19"/>
    </row>
    <row r="725" ht="15.75" customHeight="1">
      <c r="C725" s="19"/>
    </row>
    <row r="726" ht="15.75" customHeight="1">
      <c r="C726" s="19"/>
    </row>
    <row r="727" ht="15.75" customHeight="1">
      <c r="C727" s="19"/>
    </row>
    <row r="728" ht="15.75" customHeight="1">
      <c r="C728" s="19"/>
    </row>
    <row r="729" ht="15.75" customHeight="1">
      <c r="C729" s="19"/>
    </row>
    <row r="730" ht="15.75" customHeight="1">
      <c r="C730" s="19"/>
    </row>
    <row r="731" ht="15.75" customHeight="1">
      <c r="C731" s="19"/>
    </row>
    <row r="732" ht="15.75" customHeight="1">
      <c r="C732" s="19"/>
    </row>
    <row r="733" ht="15.75" customHeight="1">
      <c r="C733" s="19"/>
    </row>
    <row r="734" ht="15.75" customHeight="1">
      <c r="C734" s="19"/>
    </row>
    <row r="735" ht="15.75" customHeight="1">
      <c r="C735" s="19"/>
    </row>
    <row r="736" ht="15.75" customHeight="1">
      <c r="C736" s="19"/>
    </row>
    <row r="737" ht="15.75" customHeight="1">
      <c r="C737" s="19"/>
    </row>
    <row r="738" ht="15.75" customHeight="1">
      <c r="C738" s="19"/>
    </row>
    <row r="739" ht="15.75" customHeight="1">
      <c r="C739" s="19"/>
    </row>
    <row r="740" ht="15.75" customHeight="1">
      <c r="C740" s="19"/>
    </row>
    <row r="741" ht="15.75" customHeight="1">
      <c r="C741" s="19"/>
    </row>
    <row r="742" ht="15.75" customHeight="1">
      <c r="C742" s="19"/>
    </row>
    <row r="743" ht="15.75" customHeight="1">
      <c r="C743" s="19"/>
    </row>
    <row r="744" ht="15.75" customHeight="1">
      <c r="C744" s="19"/>
    </row>
    <row r="745" ht="15.75" customHeight="1">
      <c r="C745" s="19"/>
    </row>
    <row r="746" ht="15.75" customHeight="1">
      <c r="C746" s="19"/>
    </row>
    <row r="747" ht="15.75" customHeight="1">
      <c r="C747" s="19"/>
    </row>
    <row r="748" ht="15.75" customHeight="1">
      <c r="C748" s="19"/>
    </row>
    <row r="749" ht="15.75" customHeight="1">
      <c r="C749" s="19"/>
    </row>
    <row r="750" ht="15.75" customHeight="1">
      <c r="C750" s="19"/>
    </row>
    <row r="751" ht="15.75" customHeight="1">
      <c r="C751" s="19"/>
    </row>
    <row r="752" ht="15.75" customHeight="1">
      <c r="C752" s="19"/>
    </row>
    <row r="753" ht="15.75" customHeight="1">
      <c r="C753" s="19"/>
    </row>
    <row r="754" ht="15.75" customHeight="1">
      <c r="C754" s="19"/>
    </row>
    <row r="755" ht="15.75" customHeight="1">
      <c r="C755" s="19"/>
    </row>
    <row r="756" ht="15.75" customHeight="1">
      <c r="C756" s="19"/>
    </row>
    <row r="757" ht="15.75" customHeight="1">
      <c r="C757" s="19"/>
    </row>
    <row r="758" ht="15.75" customHeight="1">
      <c r="C758" s="19"/>
    </row>
    <row r="759" ht="15.75" customHeight="1">
      <c r="C759" s="19"/>
    </row>
    <row r="760" ht="15.75" customHeight="1">
      <c r="C760" s="19"/>
    </row>
    <row r="761" ht="15.75" customHeight="1">
      <c r="C761" s="19"/>
    </row>
    <row r="762" ht="15.75" customHeight="1">
      <c r="C762" s="19"/>
    </row>
    <row r="763" ht="15.75" customHeight="1">
      <c r="C763" s="19"/>
    </row>
    <row r="764" ht="15.75" customHeight="1">
      <c r="C764" s="19"/>
    </row>
    <row r="765" ht="15.75" customHeight="1">
      <c r="C765" s="19"/>
    </row>
    <row r="766" ht="15.75" customHeight="1">
      <c r="C766" s="19"/>
    </row>
    <row r="767" ht="15.75" customHeight="1">
      <c r="C767" s="19"/>
    </row>
    <row r="768" ht="15.75" customHeight="1">
      <c r="C768" s="19"/>
    </row>
    <row r="769" ht="15.75" customHeight="1">
      <c r="C769" s="19"/>
    </row>
    <row r="770" ht="15.75" customHeight="1">
      <c r="C770" s="19"/>
    </row>
    <row r="771" ht="15.75" customHeight="1">
      <c r="C771" s="19"/>
    </row>
    <row r="772" ht="15.75" customHeight="1">
      <c r="C772" s="19"/>
    </row>
    <row r="773" ht="15.75" customHeight="1">
      <c r="C773" s="19"/>
    </row>
    <row r="774" ht="15.75" customHeight="1">
      <c r="C774" s="19"/>
    </row>
    <row r="775" ht="15.75" customHeight="1">
      <c r="C775" s="19"/>
    </row>
    <row r="776" ht="15.75" customHeight="1">
      <c r="C776" s="19"/>
    </row>
    <row r="777" ht="15.75" customHeight="1">
      <c r="C777" s="19"/>
    </row>
    <row r="778" ht="15.75" customHeight="1">
      <c r="C778" s="19"/>
    </row>
    <row r="779" ht="15.75" customHeight="1">
      <c r="C779" s="19"/>
    </row>
    <row r="780" ht="15.75" customHeight="1">
      <c r="C780" s="19"/>
    </row>
    <row r="781" ht="15.75" customHeight="1">
      <c r="C781" s="19"/>
    </row>
    <row r="782" ht="15.75" customHeight="1">
      <c r="C782" s="19"/>
    </row>
    <row r="783" ht="15.75" customHeight="1">
      <c r="C783" s="19"/>
    </row>
    <row r="784" ht="15.75" customHeight="1">
      <c r="C784" s="19"/>
    </row>
    <row r="785" ht="15.75" customHeight="1">
      <c r="C785" s="19"/>
    </row>
    <row r="786" ht="15.75" customHeight="1">
      <c r="C786" s="19"/>
    </row>
    <row r="787" ht="15.75" customHeight="1">
      <c r="C787" s="19"/>
    </row>
    <row r="788" ht="15.75" customHeight="1">
      <c r="C788" s="19"/>
    </row>
    <row r="789" ht="15.75" customHeight="1">
      <c r="C789" s="19"/>
    </row>
    <row r="790" ht="15.75" customHeight="1">
      <c r="C790" s="19"/>
    </row>
    <row r="791" ht="15.75" customHeight="1">
      <c r="C791" s="19"/>
    </row>
    <row r="792" ht="15.75" customHeight="1">
      <c r="C792" s="19"/>
    </row>
    <row r="793" ht="15.75" customHeight="1">
      <c r="C793" s="19"/>
    </row>
    <row r="794" ht="15.75" customHeight="1">
      <c r="C794" s="19"/>
    </row>
    <row r="795" ht="15.75" customHeight="1">
      <c r="C795" s="19"/>
    </row>
    <row r="796" ht="15.75" customHeight="1">
      <c r="C796" s="19"/>
    </row>
    <row r="797" ht="15.75" customHeight="1">
      <c r="C797" s="19"/>
    </row>
    <row r="798" ht="15.75" customHeight="1">
      <c r="C798" s="19"/>
    </row>
    <row r="799" ht="15.75" customHeight="1">
      <c r="C799" s="19"/>
    </row>
    <row r="800" ht="15.75" customHeight="1">
      <c r="C800" s="19"/>
    </row>
    <row r="801" ht="15.75" customHeight="1">
      <c r="C801" s="19"/>
    </row>
    <row r="802" ht="15.75" customHeight="1">
      <c r="C802" s="19"/>
    </row>
    <row r="803" ht="15.75" customHeight="1">
      <c r="C803" s="19"/>
    </row>
    <row r="804" ht="15.75" customHeight="1">
      <c r="C804" s="19"/>
    </row>
    <row r="805" ht="15.75" customHeight="1">
      <c r="C805" s="19"/>
    </row>
    <row r="806" ht="15.75" customHeight="1">
      <c r="C806" s="19"/>
    </row>
    <row r="807" ht="15.75" customHeight="1">
      <c r="C807" s="19"/>
    </row>
    <row r="808" ht="15.75" customHeight="1">
      <c r="C808" s="19"/>
    </row>
    <row r="809" ht="15.75" customHeight="1">
      <c r="C809" s="19"/>
    </row>
    <row r="810" ht="15.75" customHeight="1">
      <c r="C810" s="19"/>
    </row>
    <row r="811" ht="15.75" customHeight="1">
      <c r="C811" s="19"/>
    </row>
    <row r="812" ht="15.75" customHeight="1">
      <c r="C812" s="19"/>
    </row>
    <row r="813" ht="15.75" customHeight="1">
      <c r="C813" s="19"/>
    </row>
    <row r="814" ht="15.75" customHeight="1">
      <c r="C814" s="19"/>
    </row>
    <row r="815" ht="15.75" customHeight="1">
      <c r="C815" s="19"/>
    </row>
    <row r="816" ht="15.75" customHeight="1">
      <c r="C816" s="19"/>
    </row>
    <row r="817" ht="15.75" customHeight="1">
      <c r="C817" s="19"/>
    </row>
    <row r="818" ht="15.75" customHeight="1">
      <c r="C818" s="19"/>
    </row>
    <row r="819" ht="15.75" customHeight="1">
      <c r="C819" s="19"/>
    </row>
    <row r="820" ht="15.75" customHeight="1">
      <c r="C820" s="19"/>
    </row>
    <row r="821" ht="15.75" customHeight="1">
      <c r="C821" s="19"/>
    </row>
    <row r="822" ht="15.75" customHeight="1">
      <c r="C822" s="19"/>
    </row>
    <row r="823" ht="15.75" customHeight="1">
      <c r="C823" s="19"/>
    </row>
    <row r="824" ht="15.75" customHeight="1">
      <c r="C824" s="19"/>
    </row>
    <row r="825" ht="15.75" customHeight="1">
      <c r="C825" s="19"/>
    </row>
    <row r="826" ht="15.75" customHeight="1">
      <c r="C826" s="19"/>
    </row>
    <row r="827" ht="15.75" customHeight="1">
      <c r="C827" s="19"/>
    </row>
    <row r="828" ht="15.75" customHeight="1">
      <c r="C828" s="19"/>
    </row>
    <row r="829" ht="15.75" customHeight="1">
      <c r="C829" s="19"/>
    </row>
    <row r="830" ht="15.75" customHeight="1">
      <c r="C830" s="19"/>
    </row>
    <row r="831" ht="15.75" customHeight="1">
      <c r="C831" s="19"/>
    </row>
    <row r="832" ht="15.75" customHeight="1">
      <c r="C832" s="19"/>
    </row>
    <row r="833" ht="15.75" customHeight="1">
      <c r="C833" s="19"/>
    </row>
    <row r="834" ht="15.75" customHeight="1">
      <c r="C834" s="19"/>
    </row>
    <row r="835" ht="15.75" customHeight="1">
      <c r="C835" s="19"/>
    </row>
    <row r="836" ht="15.75" customHeight="1">
      <c r="C836" s="19"/>
    </row>
    <row r="837" ht="15.75" customHeight="1">
      <c r="C837" s="19"/>
    </row>
    <row r="838" ht="15.75" customHeight="1">
      <c r="C838" s="19"/>
    </row>
    <row r="839" ht="15.75" customHeight="1">
      <c r="C839" s="19"/>
    </row>
    <row r="840" ht="15.75" customHeight="1">
      <c r="C840" s="19"/>
    </row>
    <row r="841" ht="15.75" customHeight="1">
      <c r="C841" s="19"/>
    </row>
    <row r="842" ht="15.75" customHeight="1">
      <c r="C842" s="19"/>
    </row>
    <row r="843" ht="15.75" customHeight="1">
      <c r="C843" s="19"/>
    </row>
    <row r="844" ht="15.75" customHeight="1">
      <c r="C844" s="19"/>
    </row>
    <row r="845" ht="15.75" customHeight="1">
      <c r="C845" s="19"/>
    </row>
    <row r="846" ht="15.75" customHeight="1">
      <c r="C846" s="19"/>
    </row>
    <row r="847" ht="15.75" customHeight="1">
      <c r="C847" s="19"/>
    </row>
    <row r="848" ht="15.75" customHeight="1">
      <c r="C848" s="19"/>
    </row>
    <row r="849" ht="15.75" customHeight="1">
      <c r="C849" s="19"/>
    </row>
    <row r="850" ht="15.75" customHeight="1">
      <c r="C850" s="19"/>
    </row>
    <row r="851" ht="15.75" customHeight="1">
      <c r="C851" s="19"/>
    </row>
    <row r="852" ht="15.75" customHeight="1">
      <c r="C852" s="19"/>
    </row>
    <row r="853" ht="15.75" customHeight="1">
      <c r="C853" s="19"/>
    </row>
    <row r="854" ht="15.75" customHeight="1">
      <c r="C854" s="19"/>
    </row>
    <row r="855" ht="15.75" customHeight="1">
      <c r="C855" s="19"/>
    </row>
    <row r="856" ht="15.75" customHeight="1">
      <c r="C856" s="19"/>
    </row>
    <row r="857" ht="15.75" customHeight="1">
      <c r="C857" s="19"/>
    </row>
    <row r="858" ht="15.75" customHeight="1">
      <c r="C858" s="19"/>
    </row>
    <row r="859" ht="15.75" customHeight="1">
      <c r="C859" s="19"/>
    </row>
    <row r="860" ht="15.75" customHeight="1">
      <c r="C860" s="19"/>
    </row>
    <row r="861" ht="15.75" customHeight="1">
      <c r="C861" s="19"/>
    </row>
    <row r="862" ht="15.75" customHeight="1">
      <c r="C862" s="19"/>
    </row>
    <row r="863" ht="15.75" customHeight="1">
      <c r="C863" s="19"/>
    </row>
    <row r="864" ht="15.75" customHeight="1">
      <c r="C864" s="19"/>
    </row>
    <row r="865" ht="15.75" customHeight="1">
      <c r="C865" s="19"/>
    </row>
    <row r="866" ht="15.75" customHeight="1">
      <c r="C866" s="19"/>
    </row>
    <row r="867" ht="15.75" customHeight="1">
      <c r="C867" s="19"/>
    </row>
    <row r="868" ht="15.75" customHeight="1">
      <c r="C868" s="19"/>
    </row>
    <row r="869" ht="15.75" customHeight="1">
      <c r="C869" s="19"/>
    </row>
    <row r="870" ht="15.75" customHeight="1">
      <c r="C870" s="19"/>
    </row>
    <row r="871" ht="15.75" customHeight="1">
      <c r="C871" s="19"/>
    </row>
    <row r="872" ht="15.75" customHeight="1">
      <c r="C872" s="19"/>
    </row>
    <row r="873" ht="15.75" customHeight="1">
      <c r="C873" s="19"/>
    </row>
    <row r="874" ht="15.75" customHeight="1">
      <c r="C874" s="19"/>
    </row>
    <row r="875" ht="15.75" customHeight="1">
      <c r="C875" s="19"/>
    </row>
    <row r="876" ht="15.75" customHeight="1">
      <c r="C876" s="19"/>
    </row>
    <row r="877" ht="15.75" customHeight="1">
      <c r="C877" s="19"/>
    </row>
    <row r="878" ht="15.75" customHeight="1">
      <c r="C878" s="19"/>
    </row>
    <row r="879" ht="15.75" customHeight="1">
      <c r="C879" s="19"/>
    </row>
    <row r="880" ht="15.75" customHeight="1">
      <c r="C880" s="19"/>
    </row>
    <row r="881" ht="15.75" customHeight="1">
      <c r="C881" s="19"/>
    </row>
    <row r="882" ht="15.75" customHeight="1">
      <c r="C882" s="19"/>
    </row>
    <row r="883" ht="15.75" customHeight="1">
      <c r="C883" s="19"/>
    </row>
    <row r="884" ht="15.75" customHeight="1">
      <c r="C884" s="19"/>
    </row>
    <row r="885" ht="15.75" customHeight="1">
      <c r="C885" s="19"/>
    </row>
    <row r="886" ht="15.75" customHeight="1">
      <c r="C886" s="19"/>
    </row>
    <row r="887" ht="15.75" customHeight="1">
      <c r="C887" s="19"/>
    </row>
    <row r="888" ht="15.75" customHeight="1">
      <c r="C888" s="19"/>
    </row>
    <row r="889" ht="15.75" customHeight="1">
      <c r="C889" s="19"/>
    </row>
    <row r="890" ht="15.75" customHeight="1">
      <c r="C890" s="19"/>
    </row>
    <row r="891" ht="15.75" customHeight="1">
      <c r="C891" s="19"/>
    </row>
    <row r="892" ht="15.75" customHeight="1">
      <c r="C892" s="19"/>
    </row>
    <row r="893" ht="15.75" customHeight="1">
      <c r="C893" s="19"/>
    </row>
    <row r="894" ht="15.75" customHeight="1">
      <c r="C894" s="19"/>
    </row>
    <row r="895" ht="15.75" customHeight="1">
      <c r="C895" s="19"/>
    </row>
    <row r="896" ht="15.75" customHeight="1">
      <c r="C896" s="19"/>
    </row>
    <row r="897" ht="15.75" customHeight="1">
      <c r="C897" s="19"/>
    </row>
    <row r="898" ht="15.75" customHeight="1">
      <c r="C898" s="19"/>
    </row>
    <row r="899" ht="15.75" customHeight="1">
      <c r="C899" s="19"/>
    </row>
    <row r="900" ht="15.75" customHeight="1">
      <c r="C900" s="19"/>
    </row>
    <row r="901" ht="15.75" customHeight="1">
      <c r="C901" s="19"/>
    </row>
    <row r="902" ht="15.75" customHeight="1">
      <c r="C902" s="19"/>
    </row>
    <row r="903" ht="15.75" customHeight="1">
      <c r="C903" s="19"/>
    </row>
    <row r="904" ht="15.75" customHeight="1">
      <c r="C904" s="19"/>
    </row>
    <row r="905" ht="15.75" customHeight="1">
      <c r="C905" s="19"/>
    </row>
    <row r="906" ht="15.75" customHeight="1">
      <c r="C906" s="19"/>
    </row>
    <row r="907" ht="15.75" customHeight="1">
      <c r="C907" s="19"/>
    </row>
    <row r="908" ht="15.75" customHeight="1">
      <c r="C908" s="19"/>
    </row>
    <row r="909" ht="15.75" customHeight="1">
      <c r="C909" s="19"/>
    </row>
    <row r="910" ht="15.75" customHeight="1">
      <c r="C910" s="19"/>
    </row>
    <row r="911" ht="15.75" customHeight="1">
      <c r="C911" s="19"/>
    </row>
    <row r="912" ht="15.75" customHeight="1">
      <c r="C912" s="19"/>
    </row>
    <row r="913" ht="15.75" customHeight="1">
      <c r="C913" s="19"/>
    </row>
    <row r="914" ht="15.75" customHeight="1">
      <c r="C914" s="19"/>
    </row>
    <row r="915" ht="15.75" customHeight="1">
      <c r="C915" s="19"/>
    </row>
    <row r="916" ht="15.75" customHeight="1">
      <c r="C916" s="19"/>
    </row>
    <row r="917" ht="15.75" customHeight="1">
      <c r="C917" s="19"/>
    </row>
    <row r="918" ht="15.75" customHeight="1">
      <c r="C918" s="19"/>
    </row>
    <row r="919" ht="15.75" customHeight="1">
      <c r="C919" s="19"/>
    </row>
    <row r="920" ht="15.75" customHeight="1">
      <c r="C920" s="19"/>
    </row>
    <row r="921" ht="15.75" customHeight="1">
      <c r="C921" s="19"/>
    </row>
    <row r="922" ht="15.75" customHeight="1">
      <c r="C922" s="19"/>
    </row>
    <row r="923" ht="15.75" customHeight="1">
      <c r="C923" s="19"/>
    </row>
    <row r="924" ht="15.75" customHeight="1">
      <c r="C924" s="19"/>
    </row>
    <row r="925" ht="15.75" customHeight="1">
      <c r="C925" s="19"/>
    </row>
    <row r="926" ht="15.75" customHeight="1">
      <c r="C926" s="19"/>
    </row>
    <row r="927" ht="15.75" customHeight="1">
      <c r="C927" s="19"/>
    </row>
    <row r="928" ht="15.75" customHeight="1">
      <c r="C928" s="19"/>
    </row>
    <row r="929" ht="15.75" customHeight="1">
      <c r="C929" s="19"/>
    </row>
    <row r="930" ht="15.75" customHeight="1">
      <c r="C930" s="19"/>
    </row>
    <row r="931" ht="15.75" customHeight="1">
      <c r="C931" s="19"/>
    </row>
    <row r="932" ht="15.75" customHeight="1">
      <c r="C932" s="19"/>
    </row>
    <row r="933" ht="15.75" customHeight="1">
      <c r="C933" s="19"/>
    </row>
    <row r="934" ht="15.75" customHeight="1">
      <c r="C934" s="19"/>
    </row>
    <row r="935" ht="15.75" customHeight="1">
      <c r="C935" s="19"/>
    </row>
    <row r="936" ht="15.75" customHeight="1">
      <c r="C936" s="19"/>
    </row>
    <row r="937" ht="15.75" customHeight="1">
      <c r="C937" s="19"/>
    </row>
    <row r="938" ht="15.75" customHeight="1">
      <c r="C938" s="19"/>
    </row>
    <row r="939" ht="15.75" customHeight="1">
      <c r="C939" s="19"/>
    </row>
    <row r="940" ht="15.75" customHeight="1">
      <c r="C940" s="19"/>
    </row>
    <row r="941" ht="15.75" customHeight="1">
      <c r="C941" s="19"/>
    </row>
    <row r="942" ht="15.75" customHeight="1">
      <c r="C942" s="19"/>
    </row>
    <row r="943" ht="15.75" customHeight="1">
      <c r="C943" s="19"/>
    </row>
    <row r="944" ht="15.75" customHeight="1">
      <c r="C944" s="19"/>
    </row>
    <row r="945" ht="15.75" customHeight="1">
      <c r="C945" s="19"/>
    </row>
    <row r="946" ht="15.75" customHeight="1">
      <c r="C946" s="19"/>
    </row>
    <row r="947" ht="15.75" customHeight="1">
      <c r="C947" s="19"/>
    </row>
    <row r="948" ht="15.75" customHeight="1">
      <c r="C948" s="19"/>
    </row>
    <row r="949" ht="15.75" customHeight="1">
      <c r="C949" s="19"/>
    </row>
    <row r="950" ht="15.75" customHeight="1">
      <c r="C950" s="19"/>
    </row>
    <row r="951" ht="15.75" customHeight="1">
      <c r="C951" s="19"/>
    </row>
    <row r="952" ht="15.75" customHeight="1">
      <c r="C952" s="19"/>
    </row>
    <row r="953" ht="15.75" customHeight="1">
      <c r="C953" s="19"/>
    </row>
    <row r="954" ht="15.75" customHeight="1">
      <c r="C954" s="19"/>
    </row>
    <row r="955" ht="15.75" customHeight="1">
      <c r="C955" s="19"/>
    </row>
    <row r="956" ht="15.75" customHeight="1">
      <c r="C956" s="19"/>
    </row>
    <row r="957" ht="15.75" customHeight="1">
      <c r="C957" s="19"/>
    </row>
    <row r="958" ht="15.75" customHeight="1">
      <c r="C958" s="19"/>
    </row>
    <row r="959" ht="15.75" customHeight="1">
      <c r="C959" s="19"/>
    </row>
    <row r="960" ht="15.75" customHeight="1">
      <c r="C960" s="19"/>
    </row>
    <row r="961" ht="15.75" customHeight="1">
      <c r="C961" s="19"/>
    </row>
    <row r="962" ht="15.75" customHeight="1">
      <c r="C962" s="19"/>
    </row>
    <row r="963" ht="15.75" customHeight="1">
      <c r="C963" s="19"/>
    </row>
    <row r="964" ht="15.75" customHeight="1">
      <c r="C964" s="19"/>
    </row>
    <row r="965" ht="15.75" customHeight="1">
      <c r="C965" s="19"/>
    </row>
    <row r="966" ht="15.75" customHeight="1">
      <c r="C966" s="19"/>
    </row>
    <row r="967" ht="15.75" customHeight="1">
      <c r="C967" s="19"/>
    </row>
    <row r="968" ht="15.75" customHeight="1">
      <c r="C968" s="19"/>
    </row>
    <row r="969" ht="15.75" customHeight="1">
      <c r="C969" s="19"/>
    </row>
    <row r="970" ht="15.75" customHeight="1">
      <c r="C970" s="19"/>
    </row>
    <row r="971" ht="15.75" customHeight="1">
      <c r="C971" s="19"/>
    </row>
    <row r="972" ht="15.75" customHeight="1">
      <c r="C972" s="19"/>
    </row>
    <row r="973" ht="15.75" customHeight="1">
      <c r="C973" s="19"/>
    </row>
    <row r="974" ht="15.75" customHeight="1">
      <c r="C974" s="19"/>
    </row>
    <row r="975" ht="15.75" customHeight="1">
      <c r="C975" s="19"/>
    </row>
    <row r="976" ht="15.75" customHeight="1">
      <c r="C976" s="19"/>
    </row>
    <row r="977" ht="15.75" customHeight="1">
      <c r="C977" s="19"/>
    </row>
    <row r="978" ht="15.75" customHeight="1">
      <c r="C978" s="19"/>
    </row>
    <row r="979" ht="15.75" customHeight="1">
      <c r="C979" s="19"/>
    </row>
    <row r="980" ht="15.75" customHeight="1">
      <c r="C980" s="19"/>
    </row>
    <row r="981" ht="15.75" customHeight="1">
      <c r="C981" s="19"/>
    </row>
    <row r="982" ht="15.75" customHeight="1">
      <c r="C982" s="19"/>
    </row>
    <row r="983" ht="15.75" customHeight="1">
      <c r="C983" s="19"/>
    </row>
    <row r="984" ht="15.75" customHeight="1">
      <c r="C984" s="19"/>
    </row>
    <row r="985" ht="15.75" customHeight="1">
      <c r="C985" s="19"/>
    </row>
    <row r="986" ht="15.75" customHeight="1">
      <c r="C986" s="19"/>
    </row>
    <row r="987" ht="15.75" customHeight="1">
      <c r="C987" s="19"/>
    </row>
    <row r="988" ht="15.75" customHeight="1">
      <c r="C988" s="19"/>
    </row>
    <row r="989" ht="15.75" customHeight="1">
      <c r="C989" s="19"/>
    </row>
    <row r="990" ht="15.75" customHeight="1">
      <c r="C990" s="19"/>
    </row>
    <row r="991" ht="15.75" customHeight="1">
      <c r="C991" s="19"/>
    </row>
    <row r="992" ht="15.75" customHeight="1">
      <c r="C992" s="19"/>
    </row>
    <row r="993" ht="15.75" customHeight="1">
      <c r="C993" s="19"/>
    </row>
    <row r="994" ht="15.75" customHeight="1">
      <c r="C994" s="19"/>
    </row>
    <row r="995" ht="15.75" customHeight="1">
      <c r="C995" s="19"/>
    </row>
    <row r="996" ht="15.75" customHeight="1">
      <c r="C996" s="19"/>
    </row>
    <row r="997" ht="15.75" customHeight="1">
      <c r="C997" s="19"/>
    </row>
    <row r="998" ht="15.75" customHeight="1">
      <c r="C998" s="19"/>
    </row>
    <row r="999" ht="15.75" customHeight="1">
      <c r="C999" s="19"/>
    </row>
    <row r="1000" ht="15.75" customHeight="1">
      <c r="C1000" s="19"/>
    </row>
  </sheetData>
  <printOptions/>
  <pageMargins bottom="1.574803149606299" footer="0.0" header="0.0" left="0.7000000000000001" right="0.7000000000000001" top="1.574803149606299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5.5"/>
    <col customWidth="1" min="2" max="2" width="10.38"/>
    <col customWidth="1" min="3" max="3" width="11.75"/>
    <col customWidth="1" min="4" max="7" width="10.38"/>
    <col customWidth="1" min="8" max="8" width="11.5"/>
    <col customWidth="1" hidden="1" min="9" max="41" width="10.38"/>
    <col customWidth="1" min="42" max="61" width="10.38"/>
  </cols>
  <sheetData>
    <row r="1" ht="36.75" customHeight="1">
      <c r="A1" s="20" t="s">
        <v>148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</row>
    <row r="2" ht="66.75" customHeight="1">
      <c r="A2" s="12"/>
      <c r="B2" s="12"/>
      <c r="C2" s="21" t="s">
        <v>149</v>
      </c>
      <c r="D2" s="21" t="s">
        <v>150</v>
      </c>
      <c r="E2" s="12"/>
      <c r="F2" s="21" t="s">
        <v>151</v>
      </c>
      <c r="G2" s="12"/>
      <c r="H2" s="21" t="s">
        <v>152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</row>
    <row r="3" ht="21.0" customHeight="1">
      <c r="A3" s="22" t="s">
        <v>153</v>
      </c>
      <c r="B3" s="23">
        <v>50.0</v>
      </c>
      <c r="C3" s="23">
        <v>75.0</v>
      </c>
      <c r="D3" s="23">
        <v>100.0</v>
      </c>
      <c r="E3" s="23">
        <v>125.0</v>
      </c>
      <c r="F3" s="24">
        <v>150.0</v>
      </c>
      <c r="G3" s="23">
        <v>175.0</v>
      </c>
      <c r="H3" s="23">
        <v>200.0</v>
      </c>
      <c r="I3" s="25">
        <v>225.0</v>
      </c>
      <c r="J3" s="25">
        <v>250.0</v>
      </c>
      <c r="K3" s="26">
        <v>275.0</v>
      </c>
      <c r="L3" s="25">
        <v>300.0</v>
      </c>
      <c r="M3" s="25">
        <v>325.0</v>
      </c>
      <c r="N3" s="25">
        <v>350.0</v>
      </c>
      <c r="O3" s="25">
        <v>375.0</v>
      </c>
      <c r="P3" s="25">
        <v>400.0</v>
      </c>
      <c r="Q3" s="25">
        <v>425.0</v>
      </c>
      <c r="R3" s="25">
        <v>450.0</v>
      </c>
      <c r="S3" s="25">
        <v>475.0</v>
      </c>
      <c r="T3" s="25">
        <v>500.0</v>
      </c>
      <c r="U3" s="25">
        <v>525.0</v>
      </c>
      <c r="V3" s="25">
        <v>550.0</v>
      </c>
      <c r="W3" s="25">
        <v>575.0</v>
      </c>
      <c r="X3" s="25">
        <v>600.0</v>
      </c>
      <c r="Y3" s="25">
        <v>625.0</v>
      </c>
      <c r="Z3" s="25">
        <v>650.0</v>
      </c>
      <c r="AA3" s="25">
        <v>675.0</v>
      </c>
      <c r="AB3" s="25">
        <v>700.0</v>
      </c>
      <c r="AC3" s="25">
        <v>725.0</v>
      </c>
      <c r="AD3" s="25">
        <v>750.0</v>
      </c>
      <c r="AE3" s="25">
        <v>775.0</v>
      </c>
      <c r="AF3" s="25">
        <v>800.0</v>
      </c>
      <c r="AG3" s="25">
        <v>825.0</v>
      </c>
      <c r="AH3" s="25">
        <v>850.0</v>
      </c>
      <c r="AI3" s="25">
        <v>875.0</v>
      </c>
      <c r="AJ3" s="25">
        <v>900.0</v>
      </c>
      <c r="AK3" s="25">
        <v>925.0</v>
      </c>
      <c r="AL3" s="25">
        <v>950.0</v>
      </c>
      <c r="AM3" s="25">
        <v>975.0</v>
      </c>
      <c r="AN3" s="25">
        <v>1000.0</v>
      </c>
      <c r="AO3" s="25">
        <v>1025.0</v>
      </c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ht="15.75" customHeight="1">
      <c r="A4" s="5" t="s">
        <v>154</v>
      </c>
      <c r="B4" s="12"/>
      <c r="C4" s="1"/>
      <c r="D4" s="12"/>
      <c r="E4" s="12"/>
      <c r="F4" s="12"/>
      <c r="G4" s="1"/>
      <c r="H4" s="12"/>
      <c r="I4" s="12"/>
      <c r="J4" s="12"/>
      <c r="K4" s="27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</row>
    <row r="5" ht="15.75" customHeight="1">
      <c r="A5" s="1" t="s">
        <v>155</v>
      </c>
      <c r="B5" s="12">
        <f t="shared" ref="B5:AO5" si="1">SUM(B6:B8)</f>
        <v>3.5</v>
      </c>
      <c r="C5" s="1">
        <f t="shared" si="1"/>
        <v>3.5</v>
      </c>
      <c r="D5" s="12">
        <f t="shared" si="1"/>
        <v>3.5</v>
      </c>
      <c r="E5" s="12">
        <f t="shared" si="1"/>
        <v>3.5</v>
      </c>
      <c r="F5" s="12">
        <f t="shared" si="1"/>
        <v>3.5</v>
      </c>
      <c r="G5" s="1">
        <f t="shared" si="1"/>
        <v>3.5</v>
      </c>
      <c r="H5" s="12">
        <f t="shared" si="1"/>
        <v>3.5</v>
      </c>
      <c r="I5" s="12">
        <f t="shared" si="1"/>
        <v>3.5</v>
      </c>
      <c r="J5" s="12">
        <f t="shared" si="1"/>
        <v>3.5</v>
      </c>
      <c r="K5" s="27">
        <f t="shared" si="1"/>
        <v>3.5</v>
      </c>
      <c r="L5" s="12">
        <f t="shared" si="1"/>
        <v>3.5</v>
      </c>
      <c r="M5" s="12">
        <f t="shared" si="1"/>
        <v>3.5</v>
      </c>
      <c r="N5" s="12">
        <f t="shared" si="1"/>
        <v>3.5</v>
      </c>
      <c r="O5" s="12">
        <f t="shared" si="1"/>
        <v>3.5</v>
      </c>
      <c r="P5" s="12">
        <f t="shared" si="1"/>
        <v>3.5</v>
      </c>
      <c r="Q5" s="12">
        <f t="shared" si="1"/>
        <v>3.5</v>
      </c>
      <c r="R5" s="12">
        <f t="shared" si="1"/>
        <v>3.5</v>
      </c>
      <c r="S5" s="12">
        <f t="shared" si="1"/>
        <v>3.5</v>
      </c>
      <c r="T5" s="12">
        <f t="shared" si="1"/>
        <v>3.5</v>
      </c>
      <c r="U5" s="12">
        <f t="shared" si="1"/>
        <v>3.5</v>
      </c>
      <c r="V5" s="12">
        <f t="shared" si="1"/>
        <v>3.5</v>
      </c>
      <c r="W5" s="12">
        <f t="shared" si="1"/>
        <v>3.5</v>
      </c>
      <c r="X5" s="12">
        <f t="shared" si="1"/>
        <v>3.5</v>
      </c>
      <c r="Y5" s="12">
        <f t="shared" si="1"/>
        <v>3.5</v>
      </c>
      <c r="Z5" s="12">
        <f t="shared" si="1"/>
        <v>3.5</v>
      </c>
      <c r="AA5" s="12">
        <f t="shared" si="1"/>
        <v>3.5</v>
      </c>
      <c r="AB5" s="12">
        <f t="shared" si="1"/>
        <v>3.5</v>
      </c>
      <c r="AC5" s="12">
        <f t="shared" si="1"/>
        <v>3.5</v>
      </c>
      <c r="AD5" s="12">
        <f t="shared" si="1"/>
        <v>3.5</v>
      </c>
      <c r="AE5" s="12">
        <f t="shared" si="1"/>
        <v>3.5</v>
      </c>
      <c r="AF5" s="12">
        <f t="shared" si="1"/>
        <v>3.5</v>
      </c>
      <c r="AG5" s="12">
        <f t="shared" si="1"/>
        <v>3.5</v>
      </c>
      <c r="AH5" s="12">
        <f t="shared" si="1"/>
        <v>3.5</v>
      </c>
      <c r="AI5" s="12">
        <f t="shared" si="1"/>
        <v>3.5</v>
      </c>
      <c r="AJ5" s="12">
        <f t="shared" si="1"/>
        <v>3.5</v>
      </c>
      <c r="AK5" s="12">
        <f t="shared" si="1"/>
        <v>3.5</v>
      </c>
      <c r="AL5" s="12">
        <f t="shared" si="1"/>
        <v>3.5</v>
      </c>
      <c r="AM5" s="12">
        <f t="shared" si="1"/>
        <v>3.5</v>
      </c>
      <c r="AN5" s="12">
        <f t="shared" si="1"/>
        <v>3.5</v>
      </c>
      <c r="AO5" s="12">
        <f t="shared" si="1"/>
        <v>3.5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ht="15.75" customHeight="1">
      <c r="A6" s="1" t="s">
        <v>156</v>
      </c>
      <c r="B6" s="12">
        <f>Datengrundlage!$C$31</f>
        <v>3.5</v>
      </c>
      <c r="C6" s="1">
        <f>Datengrundlage!$C$31</f>
        <v>3.5</v>
      </c>
      <c r="D6" s="12">
        <f>Datengrundlage!$C$31</f>
        <v>3.5</v>
      </c>
      <c r="E6" s="12">
        <f>Datengrundlage!$C$31</f>
        <v>3.5</v>
      </c>
      <c r="F6" s="12">
        <f>Datengrundlage!$C$31</f>
        <v>3.5</v>
      </c>
      <c r="G6" s="1">
        <f>Datengrundlage!$C$31</f>
        <v>3.5</v>
      </c>
      <c r="H6" s="12">
        <f>Datengrundlage!$C$31</f>
        <v>3.5</v>
      </c>
      <c r="I6" s="12">
        <f>Datengrundlage!$C$31</f>
        <v>3.5</v>
      </c>
      <c r="J6" s="12">
        <f>Datengrundlage!$C$31</f>
        <v>3.5</v>
      </c>
      <c r="K6" s="27">
        <f>Datengrundlage!$C$31</f>
        <v>3.5</v>
      </c>
      <c r="L6" s="12">
        <f>Datengrundlage!$C$31</f>
        <v>3.5</v>
      </c>
      <c r="M6" s="12">
        <f>Datengrundlage!$C$31</f>
        <v>3.5</v>
      </c>
      <c r="N6" s="12">
        <f>Datengrundlage!$C$31</f>
        <v>3.5</v>
      </c>
      <c r="O6" s="12">
        <f>Datengrundlage!$C$31</f>
        <v>3.5</v>
      </c>
      <c r="P6" s="12">
        <f>Datengrundlage!$C$31</f>
        <v>3.5</v>
      </c>
      <c r="Q6" s="12">
        <f>Datengrundlage!$C$31</f>
        <v>3.5</v>
      </c>
      <c r="R6" s="12">
        <f>Datengrundlage!$C$31</f>
        <v>3.5</v>
      </c>
      <c r="S6" s="12">
        <f>Datengrundlage!$C$31</f>
        <v>3.5</v>
      </c>
      <c r="T6" s="12">
        <f>Datengrundlage!$C$31</f>
        <v>3.5</v>
      </c>
      <c r="U6" s="12">
        <f>Datengrundlage!$C$31</f>
        <v>3.5</v>
      </c>
      <c r="V6" s="12">
        <f>Datengrundlage!$C$31</f>
        <v>3.5</v>
      </c>
      <c r="W6" s="12">
        <f>Datengrundlage!$C$31</f>
        <v>3.5</v>
      </c>
      <c r="X6" s="12">
        <f>Datengrundlage!$C$31</f>
        <v>3.5</v>
      </c>
      <c r="Y6" s="12">
        <f>Datengrundlage!$C$31</f>
        <v>3.5</v>
      </c>
      <c r="Z6" s="12">
        <f>Datengrundlage!$C$31</f>
        <v>3.5</v>
      </c>
      <c r="AA6" s="12">
        <f>Datengrundlage!$C$31</f>
        <v>3.5</v>
      </c>
      <c r="AB6" s="12">
        <f>Datengrundlage!$C$31</f>
        <v>3.5</v>
      </c>
      <c r="AC6" s="12">
        <f>Datengrundlage!$C$31</f>
        <v>3.5</v>
      </c>
      <c r="AD6" s="12">
        <f>Datengrundlage!$C$31</f>
        <v>3.5</v>
      </c>
      <c r="AE6" s="12">
        <f>Datengrundlage!$C$31</f>
        <v>3.5</v>
      </c>
      <c r="AF6" s="12">
        <f>Datengrundlage!$C$31</f>
        <v>3.5</v>
      </c>
      <c r="AG6" s="12">
        <f>Datengrundlage!$C$31</f>
        <v>3.5</v>
      </c>
      <c r="AH6" s="12">
        <f>Datengrundlage!$C$31</f>
        <v>3.5</v>
      </c>
      <c r="AI6" s="12">
        <f>Datengrundlage!$C$31</f>
        <v>3.5</v>
      </c>
      <c r="AJ6" s="12">
        <f>Datengrundlage!$C$31</f>
        <v>3.5</v>
      </c>
      <c r="AK6" s="12">
        <f>Datengrundlage!$C$31</f>
        <v>3.5</v>
      </c>
      <c r="AL6" s="12">
        <f>Datengrundlage!$C$31</f>
        <v>3.5</v>
      </c>
      <c r="AM6" s="12">
        <f>Datengrundlage!$C$31</f>
        <v>3.5</v>
      </c>
      <c r="AN6" s="12">
        <f>Datengrundlage!$C$31</f>
        <v>3.5</v>
      </c>
      <c r="AO6" s="12">
        <f>Datengrundlage!$C$31</f>
        <v>3.5</v>
      </c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</row>
    <row r="7" ht="15.75" hidden="1" customHeight="1">
      <c r="A7" s="1" t="s">
        <v>157</v>
      </c>
      <c r="B7" s="12">
        <f>Datengrundlage!$C$29</f>
        <v>0</v>
      </c>
      <c r="C7" s="1">
        <f>Datengrundlage!$C$29</f>
        <v>0</v>
      </c>
      <c r="D7" s="12">
        <f>Datengrundlage!$C$29</f>
        <v>0</v>
      </c>
      <c r="E7" s="12">
        <f>Datengrundlage!$C$29</f>
        <v>0</v>
      </c>
      <c r="F7" s="12">
        <f>Datengrundlage!$C$29</f>
        <v>0</v>
      </c>
      <c r="G7" s="1">
        <f>Datengrundlage!$C$29</f>
        <v>0</v>
      </c>
      <c r="H7" s="12">
        <f>Datengrundlage!$C$29</f>
        <v>0</v>
      </c>
      <c r="I7" s="12">
        <f>Datengrundlage!$C$29</f>
        <v>0</v>
      </c>
      <c r="J7" s="12">
        <f>Datengrundlage!$C$29</f>
        <v>0</v>
      </c>
      <c r="K7" s="27">
        <f>Datengrundlage!$C$29</f>
        <v>0</v>
      </c>
      <c r="L7" s="12">
        <f>Datengrundlage!$C$29</f>
        <v>0</v>
      </c>
      <c r="M7" s="12">
        <f>Datengrundlage!$C$29</f>
        <v>0</v>
      </c>
      <c r="N7" s="12">
        <f>Datengrundlage!$C$29</f>
        <v>0</v>
      </c>
      <c r="O7" s="12">
        <f>Datengrundlage!$C$29</f>
        <v>0</v>
      </c>
      <c r="P7" s="12">
        <f>Datengrundlage!$C$29</f>
        <v>0</v>
      </c>
      <c r="Q7" s="12">
        <f>Datengrundlage!$C$29</f>
        <v>0</v>
      </c>
      <c r="R7" s="12">
        <f>Datengrundlage!$C$29</f>
        <v>0</v>
      </c>
      <c r="S7" s="12">
        <f>Datengrundlage!$C$29</f>
        <v>0</v>
      </c>
      <c r="T7" s="12">
        <f>Datengrundlage!$C$29</f>
        <v>0</v>
      </c>
      <c r="U7" s="12">
        <f>Datengrundlage!$C$29</f>
        <v>0</v>
      </c>
      <c r="V7" s="12">
        <f>Datengrundlage!$C$29</f>
        <v>0</v>
      </c>
      <c r="W7" s="12">
        <f>Datengrundlage!$C$29</f>
        <v>0</v>
      </c>
      <c r="X7" s="12">
        <f>Datengrundlage!$C$29</f>
        <v>0</v>
      </c>
      <c r="Y7" s="12">
        <f>Datengrundlage!$C$29</f>
        <v>0</v>
      </c>
      <c r="Z7" s="12">
        <f>Datengrundlage!$C$29</f>
        <v>0</v>
      </c>
      <c r="AA7" s="12">
        <f>Datengrundlage!$C$29</f>
        <v>0</v>
      </c>
      <c r="AB7" s="12">
        <f>Datengrundlage!$C$29</f>
        <v>0</v>
      </c>
      <c r="AC7" s="12">
        <f>Datengrundlage!$C$29</f>
        <v>0</v>
      </c>
      <c r="AD7" s="12">
        <f>Datengrundlage!$C$29</f>
        <v>0</v>
      </c>
      <c r="AE7" s="12">
        <f>Datengrundlage!$C$29</f>
        <v>0</v>
      </c>
      <c r="AF7" s="12">
        <f>Datengrundlage!$C$29</f>
        <v>0</v>
      </c>
      <c r="AG7" s="12">
        <f>Datengrundlage!$C$29</f>
        <v>0</v>
      </c>
      <c r="AH7" s="12">
        <f>Datengrundlage!$C$29</f>
        <v>0</v>
      </c>
      <c r="AI7" s="12">
        <f>Datengrundlage!$C$29</f>
        <v>0</v>
      </c>
      <c r="AJ7" s="12">
        <f>Datengrundlage!$C$29</f>
        <v>0</v>
      </c>
      <c r="AK7" s="12">
        <f>Datengrundlage!$C$29</f>
        <v>0</v>
      </c>
      <c r="AL7" s="12">
        <f>Datengrundlage!$C$29</f>
        <v>0</v>
      </c>
      <c r="AM7" s="12">
        <f>Datengrundlage!$C$29</f>
        <v>0</v>
      </c>
      <c r="AN7" s="12">
        <f>Datengrundlage!$C$29</f>
        <v>0</v>
      </c>
      <c r="AO7" s="12">
        <f>Datengrundlage!$C$29</f>
        <v>0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ht="15.75" hidden="1" customHeight="1">
      <c r="A8" s="1" t="s">
        <v>43</v>
      </c>
      <c r="B8" s="12">
        <f>Datengrundlage!$C$30</f>
        <v>0</v>
      </c>
      <c r="C8" s="1">
        <f>Datengrundlage!$C$30</f>
        <v>0</v>
      </c>
      <c r="D8" s="12">
        <f>Datengrundlage!$C$30</f>
        <v>0</v>
      </c>
      <c r="E8" s="12">
        <f>Datengrundlage!$C$30</f>
        <v>0</v>
      </c>
      <c r="F8" s="12">
        <f>Datengrundlage!$C$30</f>
        <v>0</v>
      </c>
      <c r="G8" s="1">
        <f>Datengrundlage!$C$30</f>
        <v>0</v>
      </c>
      <c r="H8" s="12">
        <f>Datengrundlage!$C$30</f>
        <v>0</v>
      </c>
      <c r="I8" s="12">
        <f>Datengrundlage!$C$30</f>
        <v>0</v>
      </c>
      <c r="J8" s="12">
        <f>Datengrundlage!$C$30</f>
        <v>0</v>
      </c>
      <c r="K8" s="27">
        <f>Datengrundlage!$C$30</f>
        <v>0</v>
      </c>
      <c r="L8" s="12">
        <f>Datengrundlage!$C$30</f>
        <v>0</v>
      </c>
      <c r="M8" s="12">
        <f>Datengrundlage!$C$30</f>
        <v>0</v>
      </c>
      <c r="N8" s="12">
        <f>Datengrundlage!$C$30</f>
        <v>0</v>
      </c>
      <c r="O8" s="12">
        <f>Datengrundlage!$C$30</f>
        <v>0</v>
      </c>
      <c r="P8" s="12">
        <f>Datengrundlage!$C$30</f>
        <v>0</v>
      </c>
      <c r="Q8" s="12">
        <f>Datengrundlage!$C$30</f>
        <v>0</v>
      </c>
      <c r="R8" s="12">
        <f>Datengrundlage!$C$30</f>
        <v>0</v>
      </c>
      <c r="S8" s="12">
        <f>Datengrundlage!$C$30</f>
        <v>0</v>
      </c>
      <c r="T8" s="12">
        <f>Datengrundlage!$C$30</f>
        <v>0</v>
      </c>
      <c r="U8" s="12">
        <f>Datengrundlage!$C$30</f>
        <v>0</v>
      </c>
      <c r="V8" s="12">
        <f>Datengrundlage!$C$30</f>
        <v>0</v>
      </c>
      <c r="W8" s="12">
        <f>Datengrundlage!$C$30</f>
        <v>0</v>
      </c>
      <c r="X8" s="12">
        <f>Datengrundlage!$C$30</f>
        <v>0</v>
      </c>
      <c r="Y8" s="12">
        <f>Datengrundlage!$C$30</f>
        <v>0</v>
      </c>
      <c r="Z8" s="12">
        <f>Datengrundlage!$C$30</f>
        <v>0</v>
      </c>
      <c r="AA8" s="12">
        <f>Datengrundlage!$C$30</f>
        <v>0</v>
      </c>
      <c r="AB8" s="12">
        <f>Datengrundlage!$C$30</f>
        <v>0</v>
      </c>
      <c r="AC8" s="12">
        <f>Datengrundlage!$C$30</f>
        <v>0</v>
      </c>
      <c r="AD8" s="12">
        <f>Datengrundlage!$C$30</f>
        <v>0</v>
      </c>
      <c r="AE8" s="12">
        <f>Datengrundlage!$C$30</f>
        <v>0</v>
      </c>
      <c r="AF8" s="12">
        <f>Datengrundlage!$C$30</f>
        <v>0</v>
      </c>
      <c r="AG8" s="12">
        <f>Datengrundlage!$C$30</f>
        <v>0</v>
      </c>
      <c r="AH8" s="12">
        <f>Datengrundlage!$C$30</f>
        <v>0</v>
      </c>
      <c r="AI8" s="12">
        <f>Datengrundlage!$C$30</f>
        <v>0</v>
      </c>
      <c r="AJ8" s="12">
        <f>Datengrundlage!$C$30</f>
        <v>0</v>
      </c>
      <c r="AK8" s="12">
        <f>Datengrundlage!$C$30</f>
        <v>0</v>
      </c>
      <c r="AL8" s="12">
        <f>Datengrundlage!$C$30</f>
        <v>0</v>
      </c>
      <c r="AM8" s="12">
        <f>Datengrundlage!$C$30</f>
        <v>0</v>
      </c>
      <c r="AN8" s="12">
        <f>Datengrundlage!$C$30</f>
        <v>0</v>
      </c>
      <c r="AO8" s="12">
        <f>Datengrundlage!$C$30</f>
        <v>0</v>
      </c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</row>
    <row r="9" ht="15.75" customHeight="1">
      <c r="A9" s="12"/>
      <c r="B9" s="12"/>
      <c r="C9" s="1"/>
      <c r="D9" s="12"/>
      <c r="E9" s="12"/>
      <c r="F9" s="12"/>
      <c r="G9" s="1"/>
      <c r="H9" s="12"/>
      <c r="I9" s="12"/>
      <c r="J9" s="12"/>
      <c r="K9" s="28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</row>
    <row r="10" ht="15.75" customHeight="1">
      <c r="A10" s="1" t="s">
        <v>158</v>
      </c>
      <c r="B10" s="25">
        <f t="shared" ref="B10:AO10" si="2">SUM(B11:B14)</f>
        <v>0.3105</v>
      </c>
      <c r="C10" s="25">
        <f t="shared" si="2"/>
        <v>0.46575</v>
      </c>
      <c r="D10" s="25">
        <f t="shared" si="2"/>
        <v>0.621</v>
      </c>
      <c r="E10" s="25">
        <f t="shared" si="2"/>
        <v>0.77625</v>
      </c>
      <c r="F10" s="25">
        <f t="shared" si="2"/>
        <v>0.9315</v>
      </c>
      <c r="G10" s="25">
        <f t="shared" si="2"/>
        <v>1.08675</v>
      </c>
      <c r="H10" s="25">
        <f t="shared" si="2"/>
        <v>1.242</v>
      </c>
      <c r="I10" s="25">
        <f t="shared" si="2"/>
        <v>1.39725</v>
      </c>
      <c r="J10" s="25">
        <f t="shared" si="2"/>
        <v>1.5525</v>
      </c>
      <c r="K10" s="26">
        <f t="shared" si="2"/>
        <v>1.70775</v>
      </c>
      <c r="L10" s="25">
        <f t="shared" si="2"/>
        <v>1.863</v>
      </c>
      <c r="M10" s="25">
        <f t="shared" si="2"/>
        <v>2.01825</v>
      </c>
      <c r="N10" s="25">
        <f t="shared" si="2"/>
        <v>2.1735</v>
      </c>
      <c r="O10" s="25">
        <f t="shared" si="2"/>
        <v>2.32875</v>
      </c>
      <c r="P10" s="25">
        <f t="shared" si="2"/>
        <v>2.484</v>
      </c>
      <c r="Q10" s="25">
        <f t="shared" si="2"/>
        <v>2.63925</v>
      </c>
      <c r="R10" s="25">
        <f t="shared" si="2"/>
        <v>2.7945</v>
      </c>
      <c r="S10" s="25">
        <f t="shared" si="2"/>
        <v>2.94975</v>
      </c>
      <c r="T10" s="25">
        <f t="shared" si="2"/>
        <v>3.105</v>
      </c>
      <c r="U10" s="25">
        <f t="shared" si="2"/>
        <v>3.26025</v>
      </c>
      <c r="V10" s="25">
        <f t="shared" si="2"/>
        <v>3.4155</v>
      </c>
      <c r="W10" s="25">
        <f t="shared" si="2"/>
        <v>3.57075</v>
      </c>
      <c r="X10" s="25">
        <f t="shared" si="2"/>
        <v>3.726</v>
      </c>
      <c r="Y10" s="25">
        <f t="shared" si="2"/>
        <v>3.88125</v>
      </c>
      <c r="Z10" s="25">
        <f t="shared" si="2"/>
        <v>4.0365</v>
      </c>
      <c r="AA10" s="25">
        <f t="shared" si="2"/>
        <v>4.19175</v>
      </c>
      <c r="AB10" s="25">
        <f t="shared" si="2"/>
        <v>4.347</v>
      </c>
      <c r="AC10" s="25">
        <f t="shared" si="2"/>
        <v>4.50225</v>
      </c>
      <c r="AD10" s="25">
        <f t="shared" si="2"/>
        <v>4.6575</v>
      </c>
      <c r="AE10" s="25">
        <f t="shared" si="2"/>
        <v>4.81275</v>
      </c>
      <c r="AF10" s="25">
        <f t="shared" si="2"/>
        <v>4.968</v>
      </c>
      <c r="AG10" s="25">
        <f t="shared" si="2"/>
        <v>5.12325</v>
      </c>
      <c r="AH10" s="25">
        <f t="shared" si="2"/>
        <v>5.2785</v>
      </c>
      <c r="AI10" s="25">
        <f t="shared" si="2"/>
        <v>5.43375</v>
      </c>
      <c r="AJ10" s="25">
        <f t="shared" si="2"/>
        <v>5.589</v>
      </c>
      <c r="AK10" s="25">
        <f t="shared" si="2"/>
        <v>5.74425</v>
      </c>
      <c r="AL10" s="25">
        <f t="shared" si="2"/>
        <v>5.8995</v>
      </c>
      <c r="AM10" s="25">
        <f t="shared" si="2"/>
        <v>6.05475</v>
      </c>
      <c r="AN10" s="25">
        <f t="shared" si="2"/>
        <v>6.21</v>
      </c>
      <c r="AO10" s="25">
        <f t="shared" si="2"/>
        <v>6.36525</v>
      </c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ht="15.75" customHeight="1">
      <c r="A11" s="1" t="s">
        <v>159</v>
      </c>
      <c r="B11" s="25">
        <f>B3*Datengrundlage!$C$71/10000</f>
        <v>0.175</v>
      </c>
      <c r="C11" s="25">
        <f>C3*Datengrundlage!$C$71/10000</f>
        <v>0.2625</v>
      </c>
      <c r="D11" s="25">
        <f>D3*Datengrundlage!$C$71/10000</f>
        <v>0.35</v>
      </c>
      <c r="E11" s="25">
        <f>E3*Datengrundlage!$C$71/10000</f>
        <v>0.4375</v>
      </c>
      <c r="F11" s="25">
        <f>F3*Datengrundlage!$C$71/10000</f>
        <v>0.525</v>
      </c>
      <c r="G11" s="25">
        <f>G3*Datengrundlage!$C$71/10000</f>
        <v>0.6125</v>
      </c>
      <c r="H11" s="25">
        <f>H3*Datengrundlage!$C$71/10000</f>
        <v>0.7</v>
      </c>
      <c r="I11" s="25">
        <f>I3*Datengrundlage!$C$71/10000</f>
        <v>0.7875</v>
      </c>
      <c r="J11" s="25">
        <f>J3*Datengrundlage!$C$71/10000</f>
        <v>0.875</v>
      </c>
      <c r="K11" s="26">
        <f>K3*Datengrundlage!$C$71/10000</f>
        <v>0.9625</v>
      </c>
      <c r="L11" s="25">
        <f>L3*Datengrundlage!$C$71/10000</f>
        <v>1.05</v>
      </c>
      <c r="M11" s="25">
        <f>M3*Datengrundlage!$C$71/10000</f>
        <v>1.1375</v>
      </c>
      <c r="N11" s="25">
        <f>N3*Datengrundlage!$C$71/10000</f>
        <v>1.225</v>
      </c>
      <c r="O11" s="25">
        <f>O3*Datengrundlage!$C$71/10000</f>
        <v>1.3125</v>
      </c>
      <c r="P11" s="25">
        <f>P3*Datengrundlage!$C$71/10000</f>
        <v>1.4</v>
      </c>
      <c r="Q11" s="25">
        <f>Q3*Datengrundlage!$C$71/10000</f>
        <v>1.4875</v>
      </c>
      <c r="R11" s="25">
        <f>R3*Datengrundlage!$C$71/10000</f>
        <v>1.575</v>
      </c>
      <c r="S11" s="25">
        <f>S3*Datengrundlage!$C$71/10000</f>
        <v>1.6625</v>
      </c>
      <c r="T11" s="25">
        <f>T3*Datengrundlage!$C$71/10000</f>
        <v>1.75</v>
      </c>
      <c r="U11" s="25">
        <f>U3*Datengrundlage!$C$71/10000</f>
        <v>1.8375</v>
      </c>
      <c r="V11" s="25">
        <f>V3*Datengrundlage!$C$71/10000</f>
        <v>1.925</v>
      </c>
      <c r="W11" s="25">
        <f>W3*Datengrundlage!$C$71/10000</f>
        <v>2.0125</v>
      </c>
      <c r="X11" s="25">
        <f>X3*Datengrundlage!$C$71/10000</f>
        <v>2.1</v>
      </c>
      <c r="Y11" s="25">
        <f>Y3*Datengrundlage!$C$71/10000</f>
        <v>2.1875</v>
      </c>
      <c r="Z11" s="25">
        <f>Z3*Datengrundlage!$C$71/10000</f>
        <v>2.275</v>
      </c>
      <c r="AA11" s="25">
        <f>AA3*Datengrundlage!$C$71/10000</f>
        <v>2.3625</v>
      </c>
      <c r="AB11" s="25">
        <f>AB3*Datengrundlage!$C$71/10000</f>
        <v>2.45</v>
      </c>
      <c r="AC11" s="25">
        <f>AC3*Datengrundlage!$C$71/10000</f>
        <v>2.5375</v>
      </c>
      <c r="AD11" s="25">
        <f>AD3*Datengrundlage!$C$71/10000</f>
        <v>2.625</v>
      </c>
      <c r="AE11" s="25">
        <f>AE3*Datengrundlage!$C$71/10000</f>
        <v>2.7125</v>
      </c>
      <c r="AF11" s="25">
        <f>AF3*Datengrundlage!$C$71/10000</f>
        <v>2.8</v>
      </c>
      <c r="AG11" s="25">
        <f>AG3*Datengrundlage!$C$71/10000</f>
        <v>2.8875</v>
      </c>
      <c r="AH11" s="25">
        <f>AH3*Datengrundlage!$C$71/10000</f>
        <v>2.975</v>
      </c>
      <c r="AI11" s="25">
        <f>AI3*Datengrundlage!$C$71/10000</f>
        <v>3.0625</v>
      </c>
      <c r="AJ11" s="25">
        <f>AJ3*Datengrundlage!$C$71/10000</f>
        <v>3.15</v>
      </c>
      <c r="AK11" s="25">
        <f>AK3*Datengrundlage!$C$71/10000</f>
        <v>3.2375</v>
      </c>
      <c r="AL11" s="25">
        <f>AL3*Datengrundlage!$C$71/10000</f>
        <v>3.325</v>
      </c>
      <c r="AM11" s="25">
        <f>AM3*Datengrundlage!$C$71/10000</f>
        <v>3.4125</v>
      </c>
      <c r="AN11" s="25">
        <f>AN3*Datengrundlage!$C$71/10000</f>
        <v>3.5</v>
      </c>
      <c r="AO11" s="25">
        <f>AO3*Datengrundlage!$C$71/10000</f>
        <v>3.5875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</row>
    <row r="12" ht="15.75" customHeight="1">
      <c r="A12" s="1" t="s">
        <v>160</v>
      </c>
      <c r="B12" s="25">
        <f>B3*Datengrundlage!$C$72/10000</f>
        <v>0</v>
      </c>
      <c r="C12" s="25">
        <f>C3*Datengrundlage!$C$72/10000</f>
        <v>0</v>
      </c>
      <c r="D12" s="25">
        <f>D3*Datengrundlage!$C$72/10000</f>
        <v>0</v>
      </c>
      <c r="E12" s="25">
        <f>E3*Datengrundlage!$C$72/10000</f>
        <v>0</v>
      </c>
      <c r="F12" s="25">
        <f>F3*Datengrundlage!$C$72/10000</f>
        <v>0</v>
      </c>
      <c r="G12" s="25">
        <f>G3*Datengrundlage!$C$72/10000</f>
        <v>0</v>
      </c>
      <c r="H12" s="25">
        <f>H3*Datengrundlage!$C$72/10000</f>
        <v>0</v>
      </c>
      <c r="I12" s="25">
        <f>I3*Datengrundlage!$C$72/10000</f>
        <v>0</v>
      </c>
      <c r="J12" s="25">
        <f>J3*Datengrundlage!$C$72/10000</f>
        <v>0</v>
      </c>
      <c r="K12" s="26">
        <f>K3*Datengrundlage!$C$72/10000</f>
        <v>0</v>
      </c>
      <c r="L12" s="25">
        <f>L3*Datengrundlage!$C$72/10000</f>
        <v>0</v>
      </c>
      <c r="M12" s="25">
        <f>M3*Datengrundlage!$C$72/10000</f>
        <v>0</v>
      </c>
      <c r="N12" s="25">
        <f>N3*Datengrundlage!$C$72/10000</f>
        <v>0</v>
      </c>
      <c r="O12" s="25">
        <f>O3*Datengrundlage!$C$72/10000</f>
        <v>0</v>
      </c>
      <c r="P12" s="25">
        <f>P3*Datengrundlage!$C$72/10000</f>
        <v>0</v>
      </c>
      <c r="Q12" s="25">
        <f>Q3*Datengrundlage!$C$72/10000</f>
        <v>0</v>
      </c>
      <c r="R12" s="25">
        <f>R3*Datengrundlage!$C$72/10000</f>
        <v>0</v>
      </c>
      <c r="S12" s="25">
        <f>S3*Datengrundlage!$C$72/10000</f>
        <v>0</v>
      </c>
      <c r="T12" s="25">
        <f>T3*Datengrundlage!$C$72/10000</f>
        <v>0</v>
      </c>
      <c r="U12" s="25">
        <f>U3*Datengrundlage!$C$72/10000</f>
        <v>0</v>
      </c>
      <c r="V12" s="25">
        <f>V3*Datengrundlage!$C$72/10000</f>
        <v>0</v>
      </c>
      <c r="W12" s="25">
        <f>W3*Datengrundlage!$C$72/10000</f>
        <v>0</v>
      </c>
      <c r="X12" s="25">
        <f>X3*Datengrundlage!$C$72/10000</f>
        <v>0</v>
      </c>
      <c r="Y12" s="25">
        <f>Y3*Datengrundlage!$C$72/10000</f>
        <v>0</v>
      </c>
      <c r="Z12" s="25">
        <f>Z3*Datengrundlage!$C$72/10000</f>
        <v>0</v>
      </c>
      <c r="AA12" s="25">
        <f>AA3*Datengrundlage!$C$72/10000</f>
        <v>0</v>
      </c>
      <c r="AB12" s="25">
        <f>AB3*Datengrundlage!$C$72/10000</f>
        <v>0</v>
      </c>
      <c r="AC12" s="25">
        <f>AC3*Datengrundlage!$C$72/10000</f>
        <v>0</v>
      </c>
      <c r="AD12" s="25">
        <f>AD3*Datengrundlage!$C$72/10000</f>
        <v>0</v>
      </c>
      <c r="AE12" s="25">
        <f>AE3*Datengrundlage!$C$72/10000</f>
        <v>0</v>
      </c>
      <c r="AF12" s="25">
        <f>AF3*Datengrundlage!$C$72/10000</f>
        <v>0</v>
      </c>
      <c r="AG12" s="25">
        <f>AG3*Datengrundlage!$C$72/10000</f>
        <v>0</v>
      </c>
      <c r="AH12" s="25">
        <f>AH3*Datengrundlage!$C$72/10000</f>
        <v>0</v>
      </c>
      <c r="AI12" s="25">
        <f>AI3*Datengrundlage!$C$72/10000</f>
        <v>0</v>
      </c>
      <c r="AJ12" s="25">
        <f>AJ3*Datengrundlage!$C$72/10000</f>
        <v>0</v>
      </c>
      <c r="AK12" s="25">
        <f>AK3*Datengrundlage!$C$72/10000</f>
        <v>0</v>
      </c>
      <c r="AL12" s="25">
        <f>AL3*Datengrundlage!$C$72/10000</f>
        <v>0</v>
      </c>
      <c r="AM12" s="25">
        <f>AM3*Datengrundlage!$C$72/10000</f>
        <v>0</v>
      </c>
      <c r="AN12" s="25">
        <f>AN3*Datengrundlage!$C$72/10000</f>
        <v>0</v>
      </c>
      <c r="AO12" s="25">
        <f>AO3*Datengrundlage!$C$72/10000</f>
        <v>0</v>
      </c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ht="15.75" customHeight="1">
      <c r="A13" s="1" t="s">
        <v>161</v>
      </c>
      <c r="B13" s="25">
        <f>B3*Datengrundlage!$C$73/10000</f>
        <v>0.04</v>
      </c>
      <c r="C13" s="25">
        <f>C3*Datengrundlage!$C$73/10000</f>
        <v>0.06</v>
      </c>
      <c r="D13" s="25">
        <f>D3*Datengrundlage!$C$73/10000</f>
        <v>0.08</v>
      </c>
      <c r="E13" s="25">
        <f>E3*Datengrundlage!$C$73/10000</f>
        <v>0.1</v>
      </c>
      <c r="F13" s="25">
        <f>F3*Datengrundlage!$C$73/10000</f>
        <v>0.12</v>
      </c>
      <c r="G13" s="25">
        <f>G3*Datengrundlage!$C$73/10000</f>
        <v>0.14</v>
      </c>
      <c r="H13" s="25">
        <f>H3*Datengrundlage!$C$73/10000</f>
        <v>0.16</v>
      </c>
      <c r="I13" s="25">
        <f>I3*Datengrundlage!$C$73/10000</f>
        <v>0.18</v>
      </c>
      <c r="J13" s="25">
        <f>J3*Datengrundlage!$C$73/10000</f>
        <v>0.2</v>
      </c>
      <c r="K13" s="26">
        <f>K3*Datengrundlage!$C$73/10000</f>
        <v>0.22</v>
      </c>
      <c r="L13" s="25">
        <f>L3*Datengrundlage!$C$73/10000</f>
        <v>0.24</v>
      </c>
      <c r="M13" s="25">
        <f>M3*Datengrundlage!$C$73/10000</f>
        <v>0.26</v>
      </c>
      <c r="N13" s="25">
        <f>N3*Datengrundlage!$C$73/10000</f>
        <v>0.28</v>
      </c>
      <c r="O13" s="25">
        <f>O3*Datengrundlage!$C$73/10000</f>
        <v>0.3</v>
      </c>
      <c r="P13" s="25">
        <f>P3*Datengrundlage!$C$73/10000</f>
        <v>0.32</v>
      </c>
      <c r="Q13" s="25">
        <f>Q3*Datengrundlage!$C$73/10000</f>
        <v>0.34</v>
      </c>
      <c r="R13" s="25">
        <f>R3*Datengrundlage!$C$73/10000</f>
        <v>0.36</v>
      </c>
      <c r="S13" s="25">
        <f>S3*Datengrundlage!$C$73/10000</f>
        <v>0.38</v>
      </c>
      <c r="T13" s="25">
        <f>T3*Datengrundlage!$C$73/10000</f>
        <v>0.4</v>
      </c>
      <c r="U13" s="25">
        <f>U3*Datengrundlage!$C$73/10000</f>
        <v>0.42</v>
      </c>
      <c r="V13" s="25">
        <f>V3*Datengrundlage!$C$73/10000</f>
        <v>0.44</v>
      </c>
      <c r="W13" s="25">
        <f>W3*Datengrundlage!$C$73/10000</f>
        <v>0.46</v>
      </c>
      <c r="X13" s="25">
        <f>X3*Datengrundlage!$C$73/10000</f>
        <v>0.48</v>
      </c>
      <c r="Y13" s="25">
        <f>Y3*Datengrundlage!$C$73/10000</f>
        <v>0.5</v>
      </c>
      <c r="Z13" s="25">
        <f>Z3*Datengrundlage!$C$73/10000</f>
        <v>0.52</v>
      </c>
      <c r="AA13" s="25">
        <f>AA3*Datengrundlage!$C$73/10000</f>
        <v>0.54</v>
      </c>
      <c r="AB13" s="25">
        <f>AB3*Datengrundlage!$C$73/10000</f>
        <v>0.56</v>
      </c>
      <c r="AC13" s="25">
        <f>AC3*Datengrundlage!$C$73/10000</f>
        <v>0.58</v>
      </c>
      <c r="AD13" s="25">
        <f>AD3*Datengrundlage!$C$73/10000</f>
        <v>0.6</v>
      </c>
      <c r="AE13" s="25">
        <f>AE3*Datengrundlage!$C$73/10000</f>
        <v>0.62</v>
      </c>
      <c r="AF13" s="25">
        <f>AF3*Datengrundlage!$C$73/10000</f>
        <v>0.64</v>
      </c>
      <c r="AG13" s="25">
        <f>AG3*Datengrundlage!$C$73/10000</f>
        <v>0.66</v>
      </c>
      <c r="AH13" s="25">
        <f>AH3*Datengrundlage!$C$73/10000</f>
        <v>0.68</v>
      </c>
      <c r="AI13" s="25">
        <f>AI3*Datengrundlage!$C$73/10000</f>
        <v>0.7</v>
      </c>
      <c r="AJ13" s="25">
        <f>AJ3*Datengrundlage!$C$73/10000</f>
        <v>0.72</v>
      </c>
      <c r="AK13" s="25">
        <f>AK3*Datengrundlage!$C$73/10000</f>
        <v>0.74</v>
      </c>
      <c r="AL13" s="25">
        <f>AL3*Datengrundlage!$C$73/10000</f>
        <v>0.76</v>
      </c>
      <c r="AM13" s="25">
        <f>AM3*Datengrundlage!$C$73/10000</f>
        <v>0.78</v>
      </c>
      <c r="AN13" s="25">
        <f>AN3*Datengrundlage!$C$73/10000</f>
        <v>0.8</v>
      </c>
      <c r="AO13" s="25">
        <f>AO3*Datengrundlage!$C$73/10000</f>
        <v>0.82</v>
      </c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</row>
    <row r="14" ht="15.75" customHeight="1">
      <c r="A14" s="1" t="s">
        <v>162</v>
      </c>
      <c r="B14" s="25">
        <f>B3*Datengrundlage!$C$74/10000</f>
        <v>0.0955</v>
      </c>
      <c r="C14" s="25">
        <f>C3*Datengrundlage!$C$74/10000</f>
        <v>0.14325</v>
      </c>
      <c r="D14" s="25">
        <f>D3*Datengrundlage!$C$74/10000</f>
        <v>0.191</v>
      </c>
      <c r="E14" s="25">
        <f>E3*Datengrundlage!$C$74/10000</f>
        <v>0.23875</v>
      </c>
      <c r="F14" s="25">
        <f>F3*Datengrundlage!$C$74/10000</f>
        <v>0.2865</v>
      </c>
      <c r="G14" s="25">
        <f>G3*Datengrundlage!$C$74/10000</f>
        <v>0.33425</v>
      </c>
      <c r="H14" s="25">
        <f>H3*Datengrundlage!$C$74/10000</f>
        <v>0.382</v>
      </c>
      <c r="I14" s="25">
        <f>I3*Datengrundlage!$C$74/10000</f>
        <v>0.42975</v>
      </c>
      <c r="J14" s="25">
        <f>J3*Datengrundlage!$C$74/10000</f>
        <v>0.4775</v>
      </c>
      <c r="K14" s="26">
        <f>K3*Datengrundlage!$C$74/10000</f>
        <v>0.52525</v>
      </c>
      <c r="L14" s="25">
        <f>L3*Datengrundlage!$C$74/10000</f>
        <v>0.573</v>
      </c>
      <c r="M14" s="25">
        <f>M3*Datengrundlage!$C$74/10000</f>
        <v>0.62075</v>
      </c>
      <c r="N14" s="25">
        <f>N3*Datengrundlage!$C$74/10000</f>
        <v>0.6685</v>
      </c>
      <c r="O14" s="25">
        <f>O3*Datengrundlage!$C$74/10000</f>
        <v>0.71625</v>
      </c>
      <c r="P14" s="25">
        <f>P3*Datengrundlage!$C$74/10000</f>
        <v>0.764</v>
      </c>
      <c r="Q14" s="25">
        <f>Q3*Datengrundlage!$C$74/10000</f>
        <v>0.81175</v>
      </c>
      <c r="R14" s="25">
        <f>R3*Datengrundlage!$C$74/10000</f>
        <v>0.8595</v>
      </c>
      <c r="S14" s="25">
        <f>S3*Datengrundlage!$C$74/10000</f>
        <v>0.90725</v>
      </c>
      <c r="T14" s="25">
        <f>T3*Datengrundlage!$C$74/10000</f>
        <v>0.955</v>
      </c>
      <c r="U14" s="25">
        <f>U3*Datengrundlage!$C$74/10000</f>
        <v>1.00275</v>
      </c>
      <c r="V14" s="25">
        <f>V3*Datengrundlage!$C$74/10000</f>
        <v>1.0505</v>
      </c>
      <c r="W14" s="25">
        <f>W3*Datengrundlage!$C$74/10000</f>
        <v>1.09825</v>
      </c>
      <c r="X14" s="25">
        <f>X3*Datengrundlage!$C$74/10000</f>
        <v>1.146</v>
      </c>
      <c r="Y14" s="25">
        <f>Y3*Datengrundlage!$C$74/10000</f>
        <v>1.19375</v>
      </c>
      <c r="Z14" s="25">
        <f>Z3*Datengrundlage!$C$74/10000</f>
        <v>1.2415</v>
      </c>
      <c r="AA14" s="25">
        <f>AA3*Datengrundlage!$C$74/10000</f>
        <v>1.28925</v>
      </c>
      <c r="AB14" s="25">
        <f>AB3*Datengrundlage!$C$74/10000</f>
        <v>1.337</v>
      </c>
      <c r="AC14" s="25">
        <f>AC3*Datengrundlage!$C$74/10000</f>
        <v>1.38475</v>
      </c>
      <c r="AD14" s="25">
        <f>AD3*Datengrundlage!$C$74/10000</f>
        <v>1.4325</v>
      </c>
      <c r="AE14" s="25">
        <f>AE3*Datengrundlage!$C$74/10000</f>
        <v>1.48025</v>
      </c>
      <c r="AF14" s="25">
        <f>AF3*Datengrundlage!$C$74/10000</f>
        <v>1.528</v>
      </c>
      <c r="AG14" s="25">
        <f>AG3*Datengrundlage!$C$74/10000</f>
        <v>1.57575</v>
      </c>
      <c r="AH14" s="25">
        <f>AH3*Datengrundlage!$C$74/10000</f>
        <v>1.6235</v>
      </c>
      <c r="AI14" s="25">
        <f>AI3*Datengrundlage!$C$74/10000</f>
        <v>1.67125</v>
      </c>
      <c r="AJ14" s="25">
        <f>AJ3*Datengrundlage!$C$74/10000</f>
        <v>1.719</v>
      </c>
      <c r="AK14" s="25">
        <f>AK3*Datengrundlage!$C$74/10000</f>
        <v>1.76675</v>
      </c>
      <c r="AL14" s="25">
        <f>AL3*Datengrundlage!$C$74/10000</f>
        <v>1.8145</v>
      </c>
      <c r="AM14" s="25">
        <f>AM3*Datengrundlage!$C$74/10000</f>
        <v>1.86225</v>
      </c>
      <c r="AN14" s="25">
        <f>AN3*Datengrundlage!$C$74/10000</f>
        <v>1.91</v>
      </c>
      <c r="AO14" s="25">
        <f>AO3*Datengrundlage!$C$74/10000</f>
        <v>1.95775</v>
      </c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ht="15.75" customHeight="1">
      <c r="A15" s="1"/>
      <c r="B15" s="12"/>
      <c r="C15" s="12"/>
      <c r="D15" s="12"/>
      <c r="E15" s="12"/>
      <c r="F15" s="12"/>
      <c r="G15" s="29"/>
      <c r="H15" s="12"/>
      <c r="I15" s="12"/>
      <c r="J15" s="12"/>
      <c r="K15" s="3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ht="15.75" customHeight="1">
      <c r="A16" s="1" t="s">
        <v>163</v>
      </c>
      <c r="B16" s="25">
        <f>SUM(B22:B26)/Datengrundlage!$C$88</f>
        <v>1.367415515</v>
      </c>
      <c r="C16" s="25">
        <f>SUM(C22:C26)/Datengrundlage!$C$88</f>
        <v>1.638392857</v>
      </c>
      <c r="D16" s="25">
        <f>SUM(D22:D26)/Datengrundlage!$C$88</f>
        <v>1.9093702</v>
      </c>
      <c r="E16" s="25">
        <f>SUM(E22:E26)/Datengrundlage!$C$88</f>
        <v>2.180347542</v>
      </c>
      <c r="F16" s="25">
        <f>SUM(F22:F26)/Datengrundlage!$C$88</f>
        <v>2.451324885</v>
      </c>
      <c r="G16" s="25">
        <f>SUM(G22:G26)/Datengrundlage!$C$88</f>
        <v>2.722302227</v>
      </c>
      <c r="H16" s="25">
        <f>SUM(H22:H26)/Datengrundlage!$C$88</f>
        <v>2.99327957</v>
      </c>
      <c r="I16" s="25">
        <f>SUM(I22:I26)/Datengrundlage!$C$88</f>
        <v>3.523473502</v>
      </c>
      <c r="J16" s="25">
        <f>SUM(J22:J26)/Datengrundlage!$C$88</f>
        <v>3.794450845</v>
      </c>
      <c r="K16" s="26">
        <f>SUM(K22:K26)/Datengrundlage!$C$88</f>
        <v>4.065428187</v>
      </c>
      <c r="L16" s="25">
        <f>SUM(L22:L26)/Datengrundlage!$C$88</f>
        <v>4.33640553</v>
      </c>
      <c r="M16" s="25">
        <f>SUM(M22:M26)/Datengrundlage!$C$88</f>
        <v>4.607382873</v>
      </c>
      <c r="N16" s="25">
        <f>SUM(N22:N26)/Datengrundlage!$C$88</f>
        <v>4.878360215</v>
      </c>
      <c r="O16" s="25">
        <f>SUM(O22:O26)/Datengrundlage!$C$88</f>
        <v>5.149337558</v>
      </c>
      <c r="P16" s="25">
        <f>SUM(P22:P26)/Datengrundlage!$C$88</f>
        <v>5.4203149</v>
      </c>
      <c r="Q16" s="25">
        <f>SUM(Q22:Q26)/Datengrundlage!$C$88</f>
        <v>5.691292243</v>
      </c>
      <c r="R16" s="25">
        <f>SUM(R22:R26)/Datengrundlage!$C$88</f>
        <v>6.221486175</v>
      </c>
      <c r="S16" s="25">
        <f>SUM(S22:S26)/Datengrundlage!$C$88</f>
        <v>6.650873656</v>
      </c>
      <c r="T16" s="25">
        <f>SUM(T22:T26)/Datengrundlage!$C$88</f>
        <v>6.921850998</v>
      </c>
      <c r="U16" s="25">
        <f>SUM(U22:U26)/Datengrundlage!$C$88</f>
        <v>7.192828341</v>
      </c>
      <c r="V16" s="25">
        <f>SUM(V22:V26)/Datengrundlage!$C$88</f>
        <v>7.463805684</v>
      </c>
      <c r="W16" s="25">
        <f>SUM(W22:W26)/Datengrundlage!$C$88</f>
        <v>7.734783026</v>
      </c>
      <c r="X16" s="25">
        <f>SUM(X22:X26)/Datengrundlage!$C$88</f>
        <v>8.005760369</v>
      </c>
      <c r="Y16" s="25">
        <f>SUM(Y22:Y26)/Datengrundlage!$C$88</f>
        <v>8.535954301</v>
      </c>
      <c r="Z16" s="25">
        <f>SUM(Z22:Z26)/Datengrundlage!$C$88</f>
        <v>8.806931644</v>
      </c>
      <c r="AA16" s="25">
        <f>SUM(AA22:AA26)/Datengrundlage!$C$88</f>
        <v>9.077908986</v>
      </c>
      <c r="AB16" s="25">
        <f>SUM(AB22:AB26)/Datengrundlage!$C$88</f>
        <v>9.348886329</v>
      </c>
      <c r="AC16" s="25">
        <f>SUM(AC22:AC26)/Datengrundlage!$C$88</f>
        <v>9.619863671</v>
      </c>
      <c r="AD16" s="25">
        <f>SUM(AD22:AD26)/Datengrundlage!$C$88</f>
        <v>9.890841014</v>
      </c>
      <c r="AE16" s="25">
        <f>SUM(AE22:AE26)/Datengrundlage!$C$88</f>
        <v>10.16181836</v>
      </c>
      <c r="AF16" s="25">
        <f>SUM(AF22:AF26)/Datengrundlage!$C$88</f>
        <v>10.4327957</v>
      </c>
      <c r="AG16" s="25">
        <f>SUM(AG22:AG26)/Datengrundlage!$C$88</f>
        <v>10.96298963</v>
      </c>
      <c r="AH16" s="25">
        <f>SUM(AH22:AH26)/Datengrundlage!$C$88</f>
        <v>11.23396697</v>
      </c>
      <c r="AI16" s="25">
        <f>SUM(AI22:AI26)/Datengrundlage!$C$88</f>
        <v>11.50494432</v>
      </c>
      <c r="AJ16" s="25">
        <f>SUM(AJ22:AJ26)/Datengrundlage!$C$88</f>
        <v>11.77592166</v>
      </c>
      <c r="AK16" s="25">
        <f>SUM(AK22:AK26)/Datengrundlage!$C$88</f>
        <v>12.046899</v>
      </c>
      <c r="AL16" s="25">
        <f>SUM(AL22:AL26)/Datengrundlage!$C$88</f>
        <v>12.31787634</v>
      </c>
      <c r="AM16" s="25">
        <f>SUM(AM22:AM26)/Datengrundlage!$C$88</f>
        <v>13.00648041</v>
      </c>
      <c r="AN16" s="25">
        <f>SUM(AN22:AN26)/Datengrundlage!$C$88</f>
        <v>13.27745776</v>
      </c>
      <c r="AO16" s="25">
        <f>SUM(AO22:AO26)/Datengrundlage!$C$88</f>
        <v>13.5484351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ht="15.75" customHeight="1">
      <c r="A17" s="1" t="s">
        <v>164</v>
      </c>
      <c r="B17" s="25">
        <f>B22/Datengrundlage!$C$88</f>
        <v>0.4435483871</v>
      </c>
      <c r="C17" s="25">
        <f>C22/Datengrundlage!$C$88</f>
        <v>0.6653225806</v>
      </c>
      <c r="D17" s="25">
        <f>D22/Datengrundlage!$C$88</f>
        <v>0.8870967742</v>
      </c>
      <c r="E17" s="25">
        <f>E22/Datengrundlage!$C$88</f>
        <v>1.108870968</v>
      </c>
      <c r="F17" s="25">
        <f>F22/Datengrundlage!$C$88</f>
        <v>1.330645161</v>
      </c>
      <c r="G17" s="25">
        <f>G22/Datengrundlage!$C$88</f>
        <v>1.552419355</v>
      </c>
      <c r="H17" s="25">
        <f>H22/Datengrundlage!$C$88</f>
        <v>1.774193548</v>
      </c>
      <c r="I17" s="25">
        <f>I22/Datengrundlage!$C$88</f>
        <v>1.995967742</v>
      </c>
      <c r="J17" s="25">
        <f>J22/Datengrundlage!$C$88</f>
        <v>2.217741935</v>
      </c>
      <c r="K17" s="26">
        <f>K22/Datengrundlage!$C$88</f>
        <v>2.439516129</v>
      </c>
      <c r="L17" s="25">
        <f>L22/Datengrundlage!$C$88</f>
        <v>2.661290323</v>
      </c>
      <c r="M17" s="25">
        <f>M22/Datengrundlage!$C$88</f>
        <v>2.883064516</v>
      </c>
      <c r="N17" s="25">
        <f>N22/Datengrundlage!$C$88</f>
        <v>3.10483871</v>
      </c>
      <c r="O17" s="25">
        <f>O22/Datengrundlage!$C$88</f>
        <v>3.326612903</v>
      </c>
      <c r="P17" s="25">
        <f>P22/Datengrundlage!$C$88</f>
        <v>3.548387097</v>
      </c>
      <c r="Q17" s="25">
        <f>Q22/Datengrundlage!$C$88</f>
        <v>3.77016129</v>
      </c>
      <c r="R17" s="25">
        <f>R22/Datengrundlage!$C$88</f>
        <v>3.991935484</v>
      </c>
      <c r="S17" s="25">
        <f>S22/Datengrundlage!$C$88</f>
        <v>4.213709677</v>
      </c>
      <c r="T17" s="25">
        <f>T22/Datengrundlage!$C$88</f>
        <v>4.435483871</v>
      </c>
      <c r="U17" s="25">
        <f>U22/Datengrundlage!$C$88</f>
        <v>4.657258065</v>
      </c>
      <c r="V17" s="25">
        <f>V22/Datengrundlage!$C$88</f>
        <v>4.879032258</v>
      </c>
      <c r="W17" s="25">
        <f>W22/Datengrundlage!$C$88</f>
        <v>5.100806452</v>
      </c>
      <c r="X17" s="25">
        <f>X22/Datengrundlage!$C$88</f>
        <v>5.322580645</v>
      </c>
      <c r="Y17" s="25">
        <f>Y22/Datengrundlage!$C$88</f>
        <v>5.544354839</v>
      </c>
      <c r="Z17" s="25">
        <f>Z22/Datengrundlage!$C$88</f>
        <v>5.766129032</v>
      </c>
      <c r="AA17" s="25">
        <f>AA22/Datengrundlage!$C$88</f>
        <v>5.987903226</v>
      </c>
      <c r="AB17" s="25">
        <f>AB22/Datengrundlage!$C$88</f>
        <v>6.209677419</v>
      </c>
      <c r="AC17" s="25">
        <f>AC22/Datengrundlage!$C$88</f>
        <v>6.431451613</v>
      </c>
      <c r="AD17" s="25">
        <f>AD22/Datengrundlage!$C$88</f>
        <v>6.653225806</v>
      </c>
      <c r="AE17" s="25">
        <f>AE22/Datengrundlage!$C$88</f>
        <v>6.875</v>
      </c>
      <c r="AF17" s="25">
        <f>AF22/Datengrundlage!$C$88</f>
        <v>7.096774194</v>
      </c>
      <c r="AG17" s="25">
        <f>AG22/Datengrundlage!$C$88</f>
        <v>7.318548387</v>
      </c>
      <c r="AH17" s="25">
        <f>AH22/Datengrundlage!$C$88</f>
        <v>7.540322581</v>
      </c>
      <c r="AI17" s="25">
        <f>AI22/Datengrundlage!$C$88</f>
        <v>7.762096774</v>
      </c>
      <c r="AJ17" s="25">
        <f>AJ22/Datengrundlage!$C$88</f>
        <v>7.983870968</v>
      </c>
      <c r="AK17" s="25">
        <f>AK22/Datengrundlage!$C$88</f>
        <v>8.205645161</v>
      </c>
      <c r="AL17" s="25">
        <f>AL22/Datengrundlage!$C$88</f>
        <v>8.427419355</v>
      </c>
      <c r="AM17" s="25">
        <f>AM22/Datengrundlage!$C$88</f>
        <v>8.649193548</v>
      </c>
      <c r="AN17" s="25">
        <f>AN22/Datengrundlage!$C$88</f>
        <v>8.870967742</v>
      </c>
      <c r="AO17" s="25">
        <f>AO22/Datengrundlage!$C$88</f>
        <v>9.092741935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</row>
    <row r="18" ht="15.75" customHeight="1">
      <c r="A18" s="1" t="s">
        <v>165</v>
      </c>
      <c r="B18" s="25">
        <f>(B23+B24)/Datengrundlage!$C$88</f>
        <v>0.4176267281</v>
      </c>
      <c r="C18" s="25">
        <f>(C23+C24)/Datengrundlage!$C$88</f>
        <v>0.4176267281</v>
      </c>
      <c r="D18" s="25">
        <f>(D23+D24)/Datengrundlage!$C$88</f>
        <v>0.4176267281</v>
      </c>
      <c r="E18" s="25">
        <f>(E23+E24)/Datengrundlage!$C$88</f>
        <v>0.4176267281</v>
      </c>
      <c r="F18" s="25">
        <f>(F23+F24)/Datengrundlage!$C$88</f>
        <v>0.4176267281</v>
      </c>
      <c r="G18" s="25">
        <f>(G23+G24)/Datengrundlage!$C$88</f>
        <v>0.4176267281</v>
      </c>
      <c r="H18" s="25">
        <f>(H23+H24)/Datengrundlage!$C$88</f>
        <v>0.4176267281</v>
      </c>
      <c r="I18" s="25">
        <f>(I23+I24)/Datengrundlage!$C$88</f>
        <v>0.676843318</v>
      </c>
      <c r="J18" s="25">
        <f>(J23+J24)/Datengrundlage!$C$88</f>
        <v>0.676843318</v>
      </c>
      <c r="K18" s="26">
        <f>(K23+K24)/Datengrundlage!$C$88</f>
        <v>0.676843318</v>
      </c>
      <c r="L18" s="25">
        <f>(L23+L24)/Datengrundlage!$C$88</f>
        <v>0.676843318</v>
      </c>
      <c r="M18" s="25">
        <f>(M23+M24)/Datengrundlage!$C$88</f>
        <v>0.676843318</v>
      </c>
      <c r="N18" s="25">
        <f>(N23+N24)/Datengrundlage!$C$88</f>
        <v>0.676843318</v>
      </c>
      <c r="O18" s="25">
        <f>(O23+O24)/Datengrundlage!$C$88</f>
        <v>0.676843318</v>
      </c>
      <c r="P18" s="25">
        <f>(P23+P24)/Datengrundlage!$C$88</f>
        <v>0.676843318</v>
      </c>
      <c r="Q18" s="25">
        <f>(Q23+Q24)/Datengrundlage!$C$88</f>
        <v>0.676843318</v>
      </c>
      <c r="R18" s="25">
        <f>(R23+R24)/Datengrundlage!$C$88</f>
        <v>0.9360599078</v>
      </c>
      <c r="S18" s="25">
        <f>(S23+S24)/Datengrundlage!$C$88</f>
        <v>1.094470046</v>
      </c>
      <c r="T18" s="25">
        <f>(T23+T24)/Datengrundlage!$C$88</f>
        <v>1.094470046</v>
      </c>
      <c r="U18" s="25">
        <f>(U23+U24)/Datengrundlage!$C$88</f>
        <v>1.094470046</v>
      </c>
      <c r="V18" s="25">
        <f>(V23+V24)/Datengrundlage!$C$88</f>
        <v>1.094470046</v>
      </c>
      <c r="W18" s="25">
        <f>(W23+W24)/Datengrundlage!$C$88</f>
        <v>1.094470046</v>
      </c>
      <c r="X18" s="25">
        <f>(X23+X24)/Datengrundlage!$C$88</f>
        <v>1.094470046</v>
      </c>
      <c r="Y18" s="25">
        <f>(Y23+Y24)/Datengrundlage!$C$88</f>
        <v>1.353686636</v>
      </c>
      <c r="Z18" s="25">
        <f>(Z23+Z24)/Datengrundlage!$C$88</f>
        <v>1.353686636</v>
      </c>
      <c r="AA18" s="25">
        <f>(AA23+AA24)/Datengrundlage!$C$88</f>
        <v>1.353686636</v>
      </c>
      <c r="AB18" s="25">
        <f>(AB23+AB24)/Datengrundlage!$C$88</f>
        <v>1.353686636</v>
      </c>
      <c r="AC18" s="25">
        <f>(AC23+AC24)/Datengrundlage!$C$88</f>
        <v>1.353686636</v>
      </c>
      <c r="AD18" s="25">
        <f>(AD23+AD24)/Datengrundlage!$C$88</f>
        <v>1.353686636</v>
      </c>
      <c r="AE18" s="25">
        <f>(AE23+AE24)/Datengrundlage!$C$88</f>
        <v>1.353686636</v>
      </c>
      <c r="AF18" s="25">
        <f>(AF23+AF24)/Datengrundlage!$C$88</f>
        <v>1.353686636</v>
      </c>
      <c r="AG18" s="25">
        <f>(AG23+AG24)/Datengrundlage!$C$88</f>
        <v>1.612903226</v>
      </c>
      <c r="AH18" s="25">
        <f>(AH23+AH24)/Datengrundlage!$C$88</f>
        <v>1.612903226</v>
      </c>
      <c r="AI18" s="25">
        <f>(AI23+AI24)/Datengrundlage!$C$88</f>
        <v>1.612903226</v>
      </c>
      <c r="AJ18" s="25">
        <f>(AJ23+AJ24)/Datengrundlage!$C$88</f>
        <v>1.612903226</v>
      </c>
      <c r="AK18" s="25">
        <f>(AK23+AK24)/Datengrundlage!$C$88</f>
        <v>1.612903226</v>
      </c>
      <c r="AL18" s="25">
        <f>(AL23+AL24)/Datengrundlage!$C$88</f>
        <v>1.612903226</v>
      </c>
      <c r="AM18" s="25">
        <f>(AM23+AM24)/Datengrundlage!$C$88</f>
        <v>2.030529954</v>
      </c>
      <c r="AN18" s="25">
        <f>(AN23+AN24)/Datengrundlage!$C$88</f>
        <v>2.030529954</v>
      </c>
      <c r="AO18" s="25">
        <f>(AO23+AO24)/Datengrundlage!$C$88</f>
        <v>2.030529954</v>
      </c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</row>
    <row r="19" ht="15.75" customHeight="1">
      <c r="A19" s="1" t="s">
        <v>166</v>
      </c>
      <c r="B19" s="25">
        <f>B25/Datengrundlage!$C$109</f>
        <v>0.2125771605</v>
      </c>
      <c r="C19" s="25">
        <f>C25/Datengrundlage!$C$109</f>
        <v>0.3188657407</v>
      </c>
      <c r="D19" s="25">
        <f>D25/Datengrundlage!$C$109</f>
        <v>0.425154321</v>
      </c>
      <c r="E19" s="25">
        <f>E25/Datengrundlage!$C$109</f>
        <v>0.5314429012</v>
      </c>
      <c r="F19" s="25">
        <f>F25/Datengrundlage!$C$109</f>
        <v>0.6377314815</v>
      </c>
      <c r="G19" s="25">
        <f>G25/Datengrundlage!$C$109</f>
        <v>0.7440200617</v>
      </c>
      <c r="H19" s="25">
        <f>H25/Datengrundlage!$C$109</f>
        <v>0.850308642</v>
      </c>
      <c r="I19" s="25">
        <f>I25/Datengrundlage!$C$109</f>
        <v>0.9565972222</v>
      </c>
      <c r="J19" s="25">
        <f>J25/Datengrundlage!$C$109</f>
        <v>1.062885802</v>
      </c>
      <c r="K19" s="26">
        <f>K25/Datengrundlage!$C$109</f>
        <v>1.169174383</v>
      </c>
      <c r="L19" s="25">
        <f>L25/Datengrundlage!$C$109</f>
        <v>1.275462963</v>
      </c>
      <c r="M19" s="25">
        <f>M25/Datengrundlage!$C$109</f>
        <v>1.381751543</v>
      </c>
      <c r="N19" s="25">
        <f>N25/Datengrundlage!$C$109</f>
        <v>1.488040123</v>
      </c>
      <c r="O19" s="25">
        <f>O25/Datengrundlage!$C$109</f>
        <v>1.594328704</v>
      </c>
      <c r="P19" s="25">
        <f>P25/Datengrundlage!$C$109</f>
        <v>1.700617284</v>
      </c>
      <c r="Q19" s="25">
        <f>Q25/Datengrundlage!$C$109</f>
        <v>1.806905864</v>
      </c>
      <c r="R19" s="25">
        <f>R25/Datengrundlage!$C$109</f>
        <v>1.913194444</v>
      </c>
      <c r="S19" s="25">
        <f>S25/Datengrundlage!$C$109</f>
        <v>2.019483025</v>
      </c>
      <c r="T19" s="25">
        <f>T25/Datengrundlage!$C$109</f>
        <v>2.125771605</v>
      </c>
      <c r="U19" s="25">
        <f>U25/Datengrundlage!$C$109</f>
        <v>2.232060185</v>
      </c>
      <c r="V19" s="25">
        <f>V25/Datengrundlage!$C$109</f>
        <v>2.338348765</v>
      </c>
      <c r="W19" s="25">
        <f>W25/Datengrundlage!$C$109</f>
        <v>2.444637346</v>
      </c>
      <c r="X19" s="25">
        <f>X25/Datengrundlage!$C$109</f>
        <v>2.550925926</v>
      </c>
      <c r="Y19" s="25">
        <f>Y25/Datengrundlage!$C$109</f>
        <v>2.657214506</v>
      </c>
      <c r="Z19" s="25">
        <f>Z25/Datengrundlage!$C$109</f>
        <v>2.763503086</v>
      </c>
      <c r="AA19" s="25">
        <f>AA25/Datengrundlage!$C$109</f>
        <v>2.869791667</v>
      </c>
      <c r="AB19" s="25">
        <f>AB25/Datengrundlage!$C$109</f>
        <v>2.976080247</v>
      </c>
      <c r="AC19" s="25">
        <f>AC25/Datengrundlage!$C$109</f>
        <v>3.082368827</v>
      </c>
      <c r="AD19" s="25">
        <f>AD25/Datengrundlage!$C$109</f>
        <v>3.188657407</v>
      </c>
      <c r="AE19" s="25">
        <f>AE25/Datengrundlage!$C$109</f>
        <v>3.294945988</v>
      </c>
      <c r="AF19" s="25">
        <f>AF25/Datengrundlage!$C$109</f>
        <v>3.401234568</v>
      </c>
      <c r="AG19" s="25">
        <f>AG25/Datengrundlage!$C$109</f>
        <v>3.507523148</v>
      </c>
      <c r="AH19" s="25">
        <f>AH25/Datengrundlage!$C$109</f>
        <v>3.613811728</v>
      </c>
      <c r="AI19" s="25">
        <f>AI25/Datengrundlage!$C$109</f>
        <v>3.720100309</v>
      </c>
      <c r="AJ19" s="25">
        <f>AJ25/Datengrundlage!$C$109</f>
        <v>3.826388889</v>
      </c>
      <c r="AK19" s="25">
        <f>AK25/Datengrundlage!$C$109</f>
        <v>3.932677469</v>
      </c>
      <c r="AL19" s="25">
        <f>AL25/Datengrundlage!$C$109</f>
        <v>4.038966049</v>
      </c>
      <c r="AM19" s="25">
        <f>AM25/Datengrundlage!$C$109</f>
        <v>4.14525463</v>
      </c>
      <c r="AN19" s="25">
        <f>AN25/Datengrundlage!$C$109</f>
        <v>4.25154321</v>
      </c>
      <c r="AO19" s="25">
        <f>AO25/Datengrundlage!$C$109</f>
        <v>4.35783179</v>
      </c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ht="31.5" customHeight="1">
      <c r="A20" s="13" t="s">
        <v>167</v>
      </c>
      <c r="B20" s="25">
        <f>B26/Datengrundlage!$C$88</f>
        <v>0.4366359447</v>
      </c>
      <c r="C20" s="25">
        <f>C26/Datengrundlage!$C$88</f>
        <v>0.4510368664</v>
      </c>
      <c r="D20" s="25">
        <f>D26/Datengrundlage!$C$88</f>
        <v>0.465437788</v>
      </c>
      <c r="E20" s="25">
        <f>E26/Datengrundlage!$C$88</f>
        <v>0.4798387097</v>
      </c>
      <c r="F20" s="25">
        <f>F26/Datengrundlage!$C$88</f>
        <v>0.4942396313</v>
      </c>
      <c r="G20" s="25">
        <f>G26/Datengrundlage!$C$88</f>
        <v>0.508640553</v>
      </c>
      <c r="H20" s="25">
        <f>H26/Datengrundlage!$C$88</f>
        <v>0.5230414747</v>
      </c>
      <c r="I20" s="25">
        <f>I26/Datengrundlage!$C$88</f>
        <v>0.5374423963</v>
      </c>
      <c r="J20" s="25">
        <f>J26/Datengrundlage!$C$88</f>
        <v>0.551843318</v>
      </c>
      <c r="K20" s="26">
        <f>K26/Datengrundlage!$C$88</f>
        <v>0.5662442396</v>
      </c>
      <c r="L20" s="25">
        <f>L26/Datengrundlage!$C$88</f>
        <v>0.5806451613</v>
      </c>
      <c r="M20" s="25">
        <f>M26/Datengrundlage!$C$88</f>
        <v>0.5950460829</v>
      </c>
      <c r="N20" s="25">
        <f>N26/Datengrundlage!$C$88</f>
        <v>0.6094470046</v>
      </c>
      <c r="O20" s="25">
        <f>O26/Datengrundlage!$C$88</f>
        <v>0.6238479263</v>
      </c>
      <c r="P20" s="25">
        <f>P26/Datengrundlage!$C$88</f>
        <v>0.6382488479</v>
      </c>
      <c r="Q20" s="25">
        <f>Q26/Datengrundlage!$C$88</f>
        <v>0.6526497696</v>
      </c>
      <c r="R20" s="25">
        <f>R26/Datengrundlage!$C$88</f>
        <v>0.6670506912</v>
      </c>
      <c r="S20" s="25">
        <f>S26/Datengrundlage!$C$88</f>
        <v>0.6814516129</v>
      </c>
      <c r="T20" s="25">
        <f>T26/Datengrundlage!$C$88</f>
        <v>0.6958525346</v>
      </c>
      <c r="U20" s="25">
        <f>U26/Datengrundlage!$C$88</f>
        <v>0.7102534562</v>
      </c>
      <c r="V20" s="25">
        <f>V26/Datengrundlage!$C$88</f>
        <v>0.7246543779</v>
      </c>
      <c r="W20" s="25">
        <f>W26/Datengrundlage!$C$88</f>
        <v>0.7390552995</v>
      </c>
      <c r="X20" s="25">
        <f>X26/Datengrundlage!$C$88</f>
        <v>0.7534562212</v>
      </c>
      <c r="Y20" s="25">
        <f>Y26/Datengrundlage!$C$88</f>
        <v>0.7678571429</v>
      </c>
      <c r="Z20" s="25">
        <f>Z26/Datengrundlage!$C$88</f>
        <v>0.7822580645</v>
      </c>
      <c r="AA20" s="25">
        <f>AA26/Datengrundlage!$C$88</f>
        <v>0.7966589862</v>
      </c>
      <c r="AB20" s="25">
        <f>AB26/Datengrundlage!$C$88</f>
        <v>0.8110599078</v>
      </c>
      <c r="AC20" s="25">
        <f>AC26/Datengrundlage!$C$88</f>
        <v>0.8254608295</v>
      </c>
      <c r="AD20" s="25">
        <f>AD26/Datengrundlage!$C$88</f>
        <v>0.8398617512</v>
      </c>
      <c r="AE20" s="25">
        <f>AE26/Datengrundlage!$C$88</f>
        <v>0.8542626728</v>
      </c>
      <c r="AF20" s="25">
        <f>AF26/Datengrundlage!$C$88</f>
        <v>0.8686635945</v>
      </c>
      <c r="AG20" s="25">
        <f>AG26/Datengrundlage!$C$88</f>
        <v>0.8830645161</v>
      </c>
      <c r="AH20" s="25">
        <f>AH26/Datengrundlage!$C$88</f>
        <v>0.8974654378</v>
      </c>
      <c r="AI20" s="25">
        <f>AI26/Datengrundlage!$C$88</f>
        <v>0.9118663594</v>
      </c>
      <c r="AJ20" s="25">
        <f>AJ26/Datengrundlage!$C$88</f>
        <v>0.9262672811</v>
      </c>
      <c r="AK20" s="25">
        <f>AK26/Datengrundlage!$C$88</f>
        <v>0.9406682028</v>
      </c>
      <c r="AL20" s="25">
        <f>AL26/Datengrundlage!$C$88</f>
        <v>0.9550691244</v>
      </c>
      <c r="AM20" s="25">
        <f>AM26/Datengrundlage!$C$88</f>
        <v>0.9694700461</v>
      </c>
      <c r="AN20" s="25">
        <f>AN26/Datengrundlage!$C$88</f>
        <v>0.9838709677</v>
      </c>
      <c r="AO20" s="25">
        <f>AO26/Datengrundlage!$C$88</f>
        <v>0.9982718894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</row>
    <row r="21" ht="15.75" customHeight="1">
      <c r="A21" s="1"/>
      <c r="B21" s="12"/>
      <c r="C21" s="12"/>
      <c r="D21" s="12"/>
      <c r="E21" s="12"/>
      <c r="F21" s="12"/>
      <c r="G21" s="29"/>
      <c r="H21" s="12"/>
      <c r="I21" s="12"/>
      <c r="J21" s="12"/>
      <c r="K21" s="2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</row>
    <row r="22" ht="15.75" customHeight="1">
      <c r="A22" s="1" t="s">
        <v>168</v>
      </c>
      <c r="B22" s="12">
        <f>B3*Datengrundlage!$C$79</f>
        <v>770</v>
      </c>
      <c r="C22" s="1">
        <f>C3*Datengrundlage!$C$79</f>
        <v>1155</v>
      </c>
      <c r="D22" s="12">
        <f>D3*Datengrundlage!$C$79</f>
        <v>1540</v>
      </c>
      <c r="E22" s="12">
        <f>E3*Datengrundlage!$C$79</f>
        <v>1925</v>
      </c>
      <c r="F22" s="12">
        <f>F3*Datengrundlage!$C$79</f>
        <v>2310</v>
      </c>
      <c r="G22" s="29">
        <f>G3*Datengrundlage!$C$79</f>
        <v>2695</v>
      </c>
      <c r="H22" s="12">
        <f>H3*Datengrundlage!$C$79</f>
        <v>3080</v>
      </c>
      <c r="I22" s="12">
        <f>I3*Datengrundlage!$C$79</f>
        <v>3465</v>
      </c>
      <c r="J22" s="12">
        <f>J3*Datengrundlage!$C$79</f>
        <v>3850</v>
      </c>
      <c r="K22" s="31">
        <f>K3*Datengrundlage!$C$79</f>
        <v>4235</v>
      </c>
      <c r="L22" s="12">
        <f>L3*Datengrundlage!$C$79</f>
        <v>4620</v>
      </c>
      <c r="M22" s="12">
        <f>M3*Datengrundlage!$C$79</f>
        <v>5005</v>
      </c>
      <c r="N22" s="12">
        <f>N3*Datengrundlage!$C$79</f>
        <v>5390</v>
      </c>
      <c r="O22" s="12">
        <f>O3*Datengrundlage!$C$79</f>
        <v>5775</v>
      </c>
      <c r="P22" s="12">
        <f>P3*Datengrundlage!$C$79</f>
        <v>6160</v>
      </c>
      <c r="Q22" s="12">
        <f>Q3*Datengrundlage!$C$79</f>
        <v>6545</v>
      </c>
      <c r="R22" s="12">
        <f>R3*Datengrundlage!$C$79</f>
        <v>6930</v>
      </c>
      <c r="S22" s="12">
        <f>S3*Datengrundlage!$C$79</f>
        <v>7315</v>
      </c>
      <c r="T22" s="12">
        <f>T3*Datengrundlage!$C$79</f>
        <v>7700</v>
      </c>
      <c r="U22" s="12">
        <f>U3*Datengrundlage!$C$79</f>
        <v>8085</v>
      </c>
      <c r="V22" s="12">
        <f>V3*Datengrundlage!$C$79</f>
        <v>8470</v>
      </c>
      <c r="W22" s="12">
        <f>W3*Datengrundlage!$C$79</f>
        <v>8855</v>
      </c>
      <c r="X22" s="12">
        <f>X3*Datengrundlage!$C$79</f>
        <v>9240</v>
      </c>
      <c r="Y22" s="12">
        <f>Y3*Datengrundlage!$C$79</f>
        <v>9625</v>
      </c>
      <c r="Z22" s="12">
        <f>Z3*Datengrundlage!$C$79</f>
        <v>10010</v>
      </c>
      <c r="AA22" s="12">
        <f>AA3*Datengrundlage!$C$79</f>
        <v>10395</v>
      </c>
      <c r="AB22" s="12">
        <f>AB3*Datengrundlage!$C$79</f>
        <v>10780</v>
      </c>
      <c r="AC22" s="12">
        <f>AC3*Datengrundlage!$C$79</f>
        <v>11165</v>
      </c>
      <c r="AD22" s="12">
        <f>AD3*Datengrundlage!$C$79</f>
        <v>11550</v>
      </c>
      <c r="AE22" s="12">
        <f>AE3*Datengrundlage!$C$79</f>
        <v>11935</v>
      </c>
      <c r="AF22" s="12">
        <f>AF3*Datengrundlage!$C$79</f>
        <v>12320</v>
      </c>
      <c r="AG22" s="12">
        <f>AG3*Datengrundlage!$C$79</f>
        <v>12705</v>
      </c>
      <c r="AH22" s="12">
        <f>AH3*Datengrundlage!$C$79</f>
        <v>13090</v>
      </c>
      <c r="AI22" s="12">
        <f>AI3*Datengrundlage!$C$79</f>
        <v>13475</v>
      </c>
      <c r="AJ22" s="12">
        <f>AJ3*Datengrundlage!$C$79</f>
        <v>13860</v>
      </c>
      <c r="AK22" s="12">
        <f>AK3*Datengrundlage!$C$79</f>
        <v>14245</v>
      </c>
      <c r="AL22" s="12">
        <f>AL3*Datengrundlage!$C$79</f>
        <v>14630</v>
      </c>
      <c r="AM22" s="12">
        <f>AM3*Datengrundlage!$C$79</f>
        <v>15015</v>
      </c>
      <c r="AN22" s="12">
        <f>AN3*Datengrundlage!$C$79</f>
        <v>15400</v>
      </c>
      <c r="AO22" s="12">
        <f>AO3*Datengrundlage!$C$79</f>
        <v>15785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</row>
    <row r="23" ht="15.75" customHeight="1">
      <c r="A23" s="1" t="s">
        <v>169</v>
      </c>
      <c r="B23" s="32">
        <f>Datengrundlage!$C$80</f>
        <v>450</v>
      </c>
      <c r="C23" s="32">
        <f>Datengrundlage!$C$80</f>
        <v>450</v>
      </c>
      <c r="D23" s="32">
        <f>Datengrundlage!$C$80</f>
        <v>450</v>
      </c>
      <c r="E23" s="32">
        <f>Datengrundlage!$C$80</f>
        <v>450</v>
      </c>
      <c r="F23" s="32">
        <f>Datengrundlage!$C$80</f>
        <v>450</v>
      </c>
      <c r="G23" s="29">
        <f>Datengrundlage!$C$80</f>
        <v>450</v>
      </c>
      <c r="H23" s="32">
        <f>Datengrundlage!$C$80</f>
        <v>450</v>
      </c>
      <c r="I23" s="12">
        <f>Datengrundlage!$C$80*2</f>
        <v>900</v>
      </c>
      <c r="J23" s="12">
        <f>Datengrundlage!$C$80*2</f>
        <v>900</v>
      </c>
      <c r="K23" s="31">
        <f>Datengrundlage!$C$80*2</f>
        <v>900</v>
      </c>
      <c r="L23" s="12">
        <f>Datengrundlage!$C$80*2</f>
        <v>900</v>
      </c>
      <c r="M23" s="12">
        <f>Datengrundlage!$C$80*2</f>
        <v>900</v>
      </c>
      <c r="N23" s="12">
        <f>Datengrundlage!$C$80*2</f>
        <v>900</v>
      </c>
      <c r="O23" s="12">
        <f>Datengrundlage!$C$80*2</f>
        <v>900</v>
      </c>
      <c r="P23" s="12">
        <f>Datengrundlage!$C$80*2</f>
        <v>900</v>
      </c>
      <c r="Q23" s="12">
        <f>Datengrundlage!$C$80*2</f>
        <v>900</v>
      </c>
      <c r="R23" s="12">
        <f>Datengrundlage!$C$80*3</f>
        <v>1350</v>
      </c>
      <c r="S23" s="12">
        <f>Datengrundlage!$C$80*3</f>
        <v>1350</v>
      </c>
      <c r="T23" s="12">
        <f>Datengrundlage!$C$80*3</f>
        <v>1350</v>
      </c>
      <c r="U23" s="12">
        <f>Datengrundlage!$C$80*3</f>
        <v>1350</v>
      </c>
      <c r="V23" s="12">
        <f>Datengrundlage!$C$80*3</f>
        <v>1350</v>
      </c>
      <c r="W23" s="12">
        <f>Datengrundlage!$C$80*3</f>
        <v>1350</v>
      </c>
      <c r="X23" s="12">
        <f>Datengrundlage!$C$80*3</f>
        <v>1350</v>
      </c>
      <c r="Y23" s="12">
        <f>Datengrundlage!$C$80*4</f>
        <v>1800</v>
      </c>
      <c r="Z23" s="12">
        <f>Datengrundlage!$C$80*4</f>
        <v>1800</v>
      </c>
      <c r="AA23" s="12">
        <f>Datengrundlage!$C$80*4</f>
        <v>1800</v>
      </c>
      <c r="AB23" s="12">
        <f>Datengrundlage!$C$80*4</f>
        <v>1800</v>
      </c>
      <c r="AC23" s="12">
        <f>Datengrundlage!$C$80*4</f>
        <v>1800</v>
      </c>
      <c r="AD23" s="12">
        <f>Datengrundlage!$C$80*4</f>
        <v>1800</v>
      </c>
      <c r="AE23" s="12">
        <f>Datengrundlage!$C$80*4</f>
        <v>1800</v>
      </c>
      <c r="AF23" s="12">
        <f>Datengrundlage!$C$80*4</f>
        <v>1800</v>
      </c>
      <c r="AG23" s="12">
        <f>Datengrundlage!$C$80*5</f>
        <v>2250</v>
      </c>
      <c r="AH23" s="12">
        <f>Datengrundlage!$C$80*5</f>
        <v>2250</v>
      </c>
      <c r="AI23" s="12">
        <f>Datengrundlage!$C$80*5</f>
        <v>2250</v>
      </c>
      <c r="AJ23" s="12">
        <f>Datengrundlage!$C$80*5</f>
        <v>2250</v>
      </c>
      <c r="AK23" s="12">
        <f>Datengrundlage!$C$80*5</f>
        <v>2250</v>
      </c>
      <c r="AL23" s="12">
        <f>Datengrundlage!$C$80*5</f>
        <v>2250</v>
      </c>
      <c r="AM23" s="12">
        <f>Datengrundlage!$C$80*6</f>
        <v>2700</v>
      </c>
      <c r="AN23" s="12">
        <f>Datengrundlage!$C$80*6</f>
        <v>2700</v>
      </c>
      <c r="AO23" s="12">
        <f>Datengrundlage!$C$80*6</f>
        <v>2700</v>
      </c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ht="15.75" customHeight="1">
      <c r="A24" s="1" t="s">
        <v>170</v>
      </c>
      <c r="B24" s="32">
        <f>Datengrundlage!$C$81</f>
        <v>275</v>
      </c>
      <c r="C24" s="32">
        <f>Datengrundlage!$C$81</f>
        <v>275</v>
      </c>
      <c r="D24" s="32">
        <f>Datengrundlage!$C$81</f>
        <v>275</v>
      </c>
      <c r="E24" s="32">
        <f>Datengrundlage!$C$81</f>
        <v>275</v>
      </c>
      <c r="F24" s="32">
        <f>Datengrundlage!$C$81</f>
        <v>275</v>
      </c>
      <c r="G24" s="29">
        <f>Datengrundlage!$C$81</f>
        <v>275</v>
      </c>
      <c r="H24" s="32">
        <f>Datengrundlage!$C$81</f>
        <v>275</v>
      </c>
      <c r="I24" s="32">
        <f>Datengrundlage!$C$81</f>
        <v>275</v>
      </c>
      <c r="J24" s="32">
        <f>Datengrundlage!$C$81</f>
        <v>275</v>
      </c>
      <c r="K24" s="31">
        <f>Datengrundlage!$C$81</f>
        <v>275</v>
      </c>
      <c r="L24" s="32">
        <f>Datengrundlage!$C$81</f>
        <v>275</v>
      </c>
      <c r="M24" s="32">
        <f>Datengrundlage!$C$81</f>
        <v>275</v>
      </c>
      <c r="N24" s="32">
        <f>Datengrundlage!$C$81</f>
        <v>275</v>
      </c>
      <c r="O24" s="32">
        <f>Datengrundlage!$C$81</f>
        <v>275</v>
      </c>
      <c r="P24" s="32">
        <f>Datengrundlage!$C$81</f>
        <v>275</v>
      </c>
      <c r="Q24" s="32">
        <f>Datengrundlage!$C$81</f>
        <v>275</v>
      </c>
      <c r="R24" s="32">
        <f>Datengrundlage!$C$81</f>
        <v>275</v>
      </c>
      <c r="S24" s="12">
        <f>Datengrundlage!$C$81*2</f>
        <v>550</v>
      </c>
      <c r="T24" s="12">
        <f>Datengrundlage!$C$81*2</f>
        <v>550</v>
      </c>
      <c r="U24" s="12">
        <f>Datengrundlage!$C$81*2</f>
        <v>550</v>
      </c>
      <c r="V24" s="12">
        <f>Datengrundlage!$C$81*2</f>
        <v>550</v>
      </c>
      <c r="W24" s="12">
        <f>Datengrundlage!$C$81*2</f>
        <v>550</v>
      </c>
      <c r="X24" s="12">
        <f>Datengrundlage!$C$81*2</f>
        <v>550</v>
      </c>
      <c r="Y24" s="12">
        <f>Datengrundlage!$C$81*2</f>
        <v>550</v>
      </c>
      <c r="Z24" s="12">
        <f>Datengrundlage!$C$81*2</f>
        <v>550</v>
      </c>
      <c r="AA24" s="12">
        <f>Datengrundlage!$C$81*2</f>
        <v>550</v>
      </c>
      <c r="AB24" s="12">
        <f>Datengrundlage!$C$81*2</f>
        <v>550</v>
      </c>
      <c r="AC24" s="12">
        <f>Datengrundlage!$C$81*2</f>
        <v>550</v>
      </c>
      <c r="AD24" s="12">
        <f>Datengrundlage!$C$81*2</f>
        <v>550</v>
      </c>
      <c r="AE24" s="12">
        <f>Datengrundlage!$C$81*2</f>
        <v>550</v>
      </c>
      <c r="AF24" s="12">
        <f>Datengrundlage!$C$81*2</f>
        <v>550</v>
      </c>
      <c r="AG24" s="12">
        <f>Datengrundlage!$C$81*2</f>
        <v>550</v>
      </c>
      <c r="AH24" s="12">
        <f>Datengrundlage!$C$81*2</f>
        <v>550</v>
      </c>
      <c r="AI24" s="12">
        <f>Datengrundlage!$C$81*2</f>
        <v>550</v>
      </c>
      <c r="AJ24" s="12">
        <f>Datengrundlage!$C$81*2</f>
        <v>550</v>
      </c>
      <c r="AK24" s="12">
        <f>Datengrundlage!$C$81*2</f>
        <v>550</v>
      </c>
      <c r="AL24" s="12">
        <f>Datengrundlage!$C$81*2</f>
        <v>550</v>
      </c>
      <c r="AM24" s="12">
        <f>Datengrundlage!$C$81*3</f>
        <v>825</v>
      </c>
      <c r="AN24" s="12">
        <f>Datengrundlage!$C$81*3</f>
        <v>825</v>
      </c>
      <c r="AO24" s="12">
        <f>Datengrundlage!$C$81*3</f>
        <v>825</v>
      </c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</row>
    <row r="25" ht="15.75" customHeight="1">
      <c r="A25" s="1" t="s">
        <v>171</v>
      </c>
      <c r="B25" s="29">
        <f>(Datengrundlage!$C$83+Datengrundlage!$C$84)/150*B3</f>
        <v>120.8333333</v>
      </c>
      <c r="C25" s="29">
        <f>(Datengrundlage!$C$83+Datengrundlage!$C$84)/150*C3</f>
        <v>181.25</v>
      </c>
      <c r="D25" s="29">
        <f>(Datengrundlage!$C$83+Datengrundlage!$C$84)/150*D3</f>
        <v>241.6666667</v>
      </c>
      <c r="E25" s="29">
        <f>(Datengrundlage!$C$83+Datengrundlage!$C$84)/150*E3</f>
        <v>302.0833333</v>
      </c>
      <c r="F25" s="29">
        <f>(Datengrundlage!$C$83+Datengrundlage!$C$84)/150*F3</f>
        <v>362.5</v>
      </c>
      <c r="G25" s="29">
        <f>(Datengrundlage!$C$83+Datengrundlage!$C$84)/150*G3</f>
        <v>422.9166667</v>
      </c>
      <c r="H25" s="29">
        <f>(Datengrundlage!$C$83+Datengrundlage!$C$84)/150*H3</f>
        <v>483.3333333</v>
      </c>
      <c r="I25" s="29">
        <f>(Datengrundlage!$C$83+Datengrundlage!$C$84)/150*I3</f>
        <v>543.75</v>
      </c>
      <c r="J25" s="29">
        <f>(Datengrundlage!$C$83+Datengrundlage!$C$84)/150*J3</f>
        <v>604.1666667</v>
      </c>
      <c r="K25" s="31">
        <f>(Datengrundlage!$C$83+Datengrundlage!$C$84)/150*K3</f>
        <v>664.5833333</v>
      </c>
      <c r="L25" s="29">
        <f>(Datengrundlage!$C$83+Datengrundlage!$C$84)/150*L3</f>
        <v>725</v>
      </c>
      <c r="M25" s="29">
        <f>(Datengrundlage!$C$83+Datengrundlage!$C$84)/150*M3</f>
        <v>785.4166667</v>
      </c>
      <c r="N25" s="29">
        <f>(Datengrundlage!$C$83+Datengrundlage!$C$84)/150*N3</f>
        <v>845.8333333</v>
      </c>
      <c r="O25" s="29">
        <f>(Datengrundlage!$C$83+Datengrundlage!$C$84)/150*O3</f>
        <v>906.25</v>
      </c>
      <c r="P25" s="29">
        <f>(Datengrundlage!$C$83+Datengrundlage!$C$84)/150*P3</f>
        <v>966.6666667</v>
      </c>
      <c r="Q25" s="29">
        <f>(Datengrundlage!$C$83+Datengrundlage!$C$84)/150*Q3</f>
        <v>1027.083333</v>
      </c>
      <c r="R25" s="29">
        <f>(Datengrundlage!$C$83+Datengrundlage!$C$84)/150*R3</f>
        <v>1087.5</v>
      </c>
      <c r="S25" s="29">
        <f>(Datengrundlage!$C$83+Datengrundlage!$C$84)/150*S3</f>
        <v>1147.916667</v>
      </c>
      <c r="T25" s="29">
        <f>(Datengrundlage!$C$83+Datengrundlage!$C$84)/150*T3</f>
        <v>1208.333333</v>
      </c>
      <c r="U25" s="29">
        <f>(Datengrundlage!$C$83+Datengrundlage!$C$84)/150*U3</f>
        <v>1268.75</v>
      </c>
      <c r="V25" s="29">
        <f>(Datengrundlage!$C$83+Datengrundlage!$C$84)/150*V3</f>
        <v>1329.166667</v>
      </c>
      <c r="W25" s="29">
        <f>(Datengrundlage!$C$83+Datengrundlage!$C$84)/150*W3</f>
        <v>1389.583333</v>
      </c>
      <c r="X25" s="29">
        <f>(Datengrundlage!$C$83+Datengrundlage!$C$84)/150*X3</f>
        <v>1450</v>
      </c>
      <c r="Y25" s="29">
        <f>(Datengrundlage!$C$83+Datengrundlage!$C$84)/150*Y3</f>
        <v>1510.416667</v>
      </c>
      <c r="Z25" s="29">
        <f>(Datengrundlage!$C$83+Datengrundlage!$C$84)/150*Z3</f>
        <v>1570.833333</v>
      </c>
      <c r="AA25" s="29">
        <f>(Datengrundlage!$C$83+Datengrundlage!$C$84)/150*AA3</f>
        <v>1631.25</v>
      </c>
      <c r="AB25" s="29">
        <f>(Datengrundlage!$C$83+Datengrundlage!$C$84)/150*AB3</f>
        <v>1691.666667</v>
      </c>
      <c r="AC25" s="29">
        <f>(Datengrundlage!$C$83+Datengrundlage!$C$84)/150*AC3</f>
        <v>1752.083333</v>
      </c>
      <c r="AD25" s="29">
        <f>(Datengrundlage!$C$83+Datengrundlage!$C$84)/150*AD3</f>
        <v>1812.5</v>
      </c>
      <c r="AE25" s="29">
        <f>(Datengrundlage!$C$83+Datengrundlage!$C$84)/150*AE3</f>
        <v>1872.916667</v>
      </c>
      <c r="AF25" s="29">
        <f>(Datengrundlage!$C$83+Datengrundlage!$C$84)/150*AF3</f>
        <v>1933.333333</v>
      </c>
      <c r="AG25" s="29">
        <f>(Datengrundlage!$C$83+Datengrundlage!$C$84)/150*AG3</f>
        <v>1993.75</v>
      </c>
      <c r="AH25" s="29">
        <f>(Datengrundlage!$C$83+Datengrundlage!$C$84)/150*AH3</f>
        <v>2054.166667</v>
      </c>
      <c r="AI25" s="29">
        <f>(Datengrundlage!$C$83+Datengrundlage!$C$84)/150*AI3</f>
        <v>2114.583333</v>
      </c>
      <c r="AJ25" s="29">
        <f>(Datengrundlage!$C$83+Datengrundlage!$C$84)/150*AJ3</f>
        <v>2175</v>
      </c>
      <c r="AK25" s="29">
        <f>(Datengrundlage!$C$83+Datengrundlage!$C$84)/150*AK3</f>
        <v>2235.416667</v>
      </c>
      <c r="AL25" s="29">
        <f>(Datengrundlage!$C$83+Datengrundlage!$C$84)/150*AL3</f>
        <v>2295.833333</v>
      </c>
      <c r="AM25" s="29">
        <f>(Datengrundlage!$C$83+Datengrundlage!$C$84)/150*AM3</f>
        <v>2356.25</v>
      </c>
      <c r="AN25" s="29">
        <f>(Datengrundlage!$C$83+Datengrundlage!$C$84)/150*AN3</f>
        <v>2416.666667</v>
      </c>
      <c r="AO25" s="29">
        <f>(Datengrundlage!$C$83+Datengrundlage!$C$84)/150*AO3</f>
        <v>2477.083333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</row>
    <row r="26" ht="15.75" customHeight="1">
      <c r="A26" s="1" t="s">
        <v>172</v>
      </c>
      <c r="B26" s="32">
        <f>Datengrundlage!$C$86+Datengrundlage!$C$85/50*B3</f>
        <v>758</v>
      </c>
      <c r="C26" s="32">
        <f>Datengrundlage!$C$86+Datengrundlage!$C$85/50*C3</f>
        <v>783</v>
      </c>
      <c r="D26" s="32">
        <f>Datengrundlage!$C$86+Datengrundlage!$C$85/50*D3</f>
        <v>808</v>
      </c>
      <c r="E26" s="32">
        <f>Datengrundlage!$C$86+Datengrundlage!$C$85/50*E3</f>
        <v>833</v>
      </c>
      <c r="F26" s="32">
        <f>Datengrundlage!$C$86+Datengrundlage!$C$85/50*F3</f>
        <v>858</v>
      </c>
      <c r="G26" s="29">
        <f>Datengrundlage!$C$86+Datengrundlage!$C$85/50*G3</f>
        <v>883</v>
      </c>
      <c r="H26" s="32">
        <f>Datengrundlage!$C$86+Datengrundlage!$C$85/50*H3</f>
        <v>908</v>
      </c>
      <c r="I26" s="32">
        <f>Datengrundlage!$C$86+Datengrundlage!$C$85/50*I3</f>
        <v>933</v>
      </c>
      <c r="J26" s="32">
        <f>Datengrundlage!$C$86+Datengrundlage!$C$85/50*J3</f>
        <v>958</v>
      </c>
      <c r="K26" s="31">
        <f>Datengrundlage!$C$86+Datengrundlage!$C$85/50*K3</f>
        <v>983</v>
      </c>
      <c r="L26" s="32">
        <f>Datengrundlage!$C$86+Datengrundlage!$C$85/50*L3</f>
        <v>1008</v>
      </c>
      <c r="M26" s="32">
        <f>Datengrundlage!$C$86+Datengrundlage!$C$85/50*M3</f>
        <v>1033</v>
      </c>
      <c r="N26" s="32">
        <f>Datengrundlage!$C$86+Datengrundlage!$C$85/50*N3</f>
        <v>1058</v>
      </c>
      <c r="O26" s="32">
        <f>Datengrundlage!$C$86+Datengrundlage!$C$85/50*O3</f>
        <v>1083</v>
      </c>
      <c r="P26" s="32">
        <f>Datengrundlage!$C$86+Datengrundlage!$C$85/50*P3</f>
        <v>1108</v>
      </c>
      <c r="Q26" s="32">
        <f>Datengrundlage!$C$86+Datengrundlage!$C$85/50*Q3</f>
        <v>1133</v>
      </c>
      <c r="R26" s="32">
        <f>Datengrundlage!$C$86+Datengrundlage!$C$85/50*R3</f>
        <v>1158</v>
      </c>
      <c r="S26" s="32">
        <f>Datengrundlage!$C$86+Datengrundlage!$C$85/50*S3</f>
        <v>1183</v>
      </c>
      <c r="T26" s="32">
        <f>Datengrundlage!$C$86+Datengrundlage!$C$85/50*T3</f>
        <v>1208</v>
      </c>
      <c r="U26" s="32">
        <f>Datengrundlage!$C$86+Datengrundlage!$C$85/50*U3</f>
        <v>1233</v>
      </c>
      <c r="V26" s="32">
        <f>Datengrundlage!$C$86+Datengrundlage!$C$85/50*V3</f>
        <v>1258</v>
      </c>
      <c r="W26" s="32">
        <f>Datengrundlage!$C$86+Datengrundlage!$C$85/50*W3</f>
        <v>1283</v>
      </c>
      <c r="X26" s="32">
        <f>Datengrundlage!$C$86+Datengrundlage!$C$85/50*X3</f>
        <v>1308</v>
      </c>
      <c r="Y26" s="32">
        <f>Datengrundlage!$C$86+Datengrundlage!$C$85/50*Y3</f>
        <v>1333</v>
      </c>
      <c r="Z26" s="32">
        <f>Datengrundlage!$C$86+Datengrundlage!$C$85/50*Z3</f>
        <v>1358</v>
      </c>
      <c r="AA26" s="32">
        <f>Datengrundlage!$C$86+Datengrundlage!$C$85/50*AA3</f>
        <v>1383</v>
      </c>
      <c r="AB26" s="32">
        <f>Datengrundlage!$C$86+Datengrundlage!$C$85/50*AB3</f>
        <v>1408</v>
      </c>
      <c r="AC26" s="32">
        <f>Datengrundlage!$C$86+Datengrundlage!$C$85/50*AC3</f>
        <v>1433</v>
      </c>
      <c r="AD26" s="32">
        <f>Datengrundlage!$C$86+Datengrundlage!$C$85/50*AD3</f>
        <v>1458</v>
      </c>
      <c r="AE26" s="32">
        <f>Datengrundlage!$C$86+Datengrundlage!$C$85/50*AE3</f>
        <v>1483</v>
      </c>
      <c r="AF26" s="32">
        <f>Datengrundlage!$C$86+Datengrundlage!$C$85/50*AF3</f>
        <v>1508</v>
      </c>
      <c r="AG26" s="32">
        <f>Datengrundlage!$C$86+Datengrundlage!$C$85/50*AG3</f>
        <v>1533</v>
      </c>
      <c r="AH26" s="32">
        <f>Datengrundlage!$C$86+Datengrundlage!$C$85/50*AH3</f>
        <v>1558</v>
      </c>
      <c r="AI26" s="32">
        <f>Datengrundlage!$C$86+Datengrundlage!$C$85/50*AI3</f>
        <v>1583</v>
      </c>
      <c r="AJ26" s="32">
        <f>Datengrundlage!$C$86+Datengrundlage!$C$85/50*AJ3</f>
        <v>1608</v>
      </c>
      <c r="AK26" s="32">
        <f>Datengrundlage!$C$86+Datengrundlage!$C$85/50*AK3</f>
        <v>1633</v>
      </c>
      <c r="AL26" s="32">
        <f>Datengrundlage!$C$86+Datengrundlage!$C$85/50*AL3</f>
        <v>1658</v>
      </c>
      <c r="AM26" s="32">
        <f>Datengrundlage!$C$86+Datengrundlage!$C$85/50*AM3</f>
        <v>1683</v>
      </c>
      <c r="AN26" s="32">
        <f>Datengrundlage!$C$86+Datengrundlage!$C$85/50*AN3</f>
        <v>1708</v>
      </c>
      <c r="AO26" s="32">
        <f>Datengrundlage!$C$86+Datengrundlage!$C$85/50*AO3</f>
        <v>1733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</row>
    <row r="2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</row>
    <row r="28" ht="15.75" customHeight="1">
      <c r="A28" s="33" t="s">
        <v>173</v>
      </c>
      <c r="B28" s="34">
        <f t="shared" ref="B28:AO28" si="3">B30+B34</f>
        <v>45538.31776</v>
      </c>
      <c r="C28" s="34">
        <f t="shared" si="3"/>
        <v>67407.47664</v>
      </c>
      <c r="D28" s="34">
        <f t="shared" si="3"/>
        <v>89276.63551</v>
      </c>
      <c r="E28" s="34">
        <f t="shared" si="3"/>
        <v>111145.7944</v>
      </c>
      <c r="F28" s="34">
        <f t="shared" si="3"/>
        <v>133014.9533</v>
      </c>
      <c r="G28" s="34">
        <f t="shared" si="3"/>
        <v>154884.1121</v>
      </c>
      <c r="H28" s="34">
        <f t="shared" si="3"/>
        <v>176753.271</v>
      </c>
      <c r="I28" s="35">
        <f t="shared" si="3"/>
        <v>196822.4299</v>
      </c>
      <c r="J28" s="35">
        <f t="shared" si="3"/>
        <v>218691.5888</v>
      </c>
      <c r="K28" s="36">
        <f t="shared" si="3"/>
        <v>240560.7477</v>
      </c>
      <c r="L28" s="35">
        <f t="shared" si="3"/>
        <v>262429.9065</v>
      </c>
      <c r="M28" s="35">
        <f t="shared" si="3"/>
        <v>284299.0654</v>
      </c>
      <c r="N28" s="35">
        <f t="shared" si="3"/>
        <v>306168.2243</v>
      </c>
      <c r="O28" s="35">
        <f t="shared" si="3"/>
        <v>328037.3832</v>
      </c>
      <c r="P28" s="35">
        <f t="shared" si="3"/>
        <v>349906.5421</v>
      </c>
      <c r="Q28" s="35">
        <f t="shared" si="3"/>
        <v>371775.7009</v>
      </c>
      <c r="R28" s="35">
        <f t="shared" si="3"/>
        <v>393644.8598</v>
      </c>
      <c r="S28" s="35">
        <f t="shared" si="3"/>
        <v>415514.0187</v>
      </c>
      <c r="T28" s="35">
        <f t="shared" si="3"/>
        <v>437383.1776</v>
      </c>
      <c r="U28" s="35">
        <f t="shared" si="3"/>
        <v>459252.3364</v>
      </c>
      <c r="V28" s="35">
        <f t="shared" si="3"/>
        <v>481121.4953</v>
      </c>
      <c r="W28" s="35">
        <f t="shared" si="3"/>
        <v>502990.6542</v>
      </c>
      <c r="X28" s="35">
        <f t="shared" si="3"/>
        <v>524859.8131</v>
      </c>
      <c r="Y28" s="35">
        <f t="shared" si="3"/>
        <v>546728.972</v>
      </c>
      <c r="Z28" s="35">
        <f t="shared" si="3"/>
        <v>568598.1308</v>
      </c>
      <c r="AA28" s="35">
        <f t="shared" si="3"/>
        <v>590467.2897</v>
      </c>
      <c r="AB28" s="35">
        <f t="shared" si="3"/>
        <v>612336.4486</v>
      </c>
      <c r="AC28" s="35">
        <f t="shared" si="3"/>
        <v>634205.6075</v>
      </c>
      <c r="AD28" s="35">
        <f t="shared" si="3"/>
        <v>656074.7664</v>
      </c>
      <c r="AE28" s="35">
        <f t="shared" si="3"/>
        <v>677943.9252</v>
      </c>
      <c r="AF28" s="35">
        <f t="shared" si="3"/>
        <v>699813.0841</v>
      </c>
      <c r="AG28" s="35">
        <f t="shared" si="3"/>
        <v>721682.243</v>
      </c>
      <c r="AH28" s="35">
        <f t="shared" si="3"/>
        <v>743551.4019</v>
      </c>
      <c r="AI28" s="35">
        <f t="shared" si="3"/>
        <v>765420.5607</v>
      </c>
      <c r="AJ28" s="35">
        <f t="shared" si="3"/>
        <v>787289.7196</v>
      </c>
      <c r="AK28" s="35">
        <f t="shared" si="3"/>
        <v>809158.8785</v>
      </c>
      <c r="AL28" s="35">
        <f t="shared" si="3"/>
        <v>831028.0374</v>
      </c>
      <c r="AM28" s="35">
        <f t="shared" si="3"/>
        <v>852897.1963</v>
      </c>
      <c r="AN28" s="35">
        <f t="shared" si="3"/>
        <v>874766.3551</v>
      </c>
      <c r="AO28" s="35">
        <f t="shared" si="3"/>
        <v>896635.514</v>
      </c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</row>
    <row r="29" ht="15.75" customHeight="1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</row>
    <row r="30" ht="15.75" customHeight="1">
      <c r="A30" s="5" t="s">
        <v>174</v>
      </c>
      <c r="B30" s="38">
        <f t="shared" ref="B30:AO30" si="4">SUM(B31:B32)</f>
        <v>45538.31776</v>
      </c>
      <c r="C30" s="38">
        <f t="shared" si="4"/>
        <v>67407.47664</v>
      </c>
      <c r="D30" s="38">
        <f t="shared" si="4"/>
        <v>89276.63551</v>
      </c>
      <c r="E30" s="38">
        <f t="shared" si="4"/>
        <v>111145.7944</v>
      </c>
      <c r="F30" s="38">
        <f t="shared" si="4"/>
        <v>133014.9533</v>
      </c>
      <c r="G30" s="38">
        <f t="shared" si="4"/>
        <v>154884.1121</v>
      </c>
      <c r="H30" s="38">
        <f t="shared" si="4"/>
        <v>176753.271</v>
      </c>
      <c r="I30" s="38">
        <f t="shared" si="4"/>
        <v>196822.4299</v>
      </c>
      <c r="J30" s="38">
        <f t="shared" si="4"/>
        <v>218691.5888</v>
      </c>
      <c r="K30" s="39">
        <f t="shared" si="4"/>
        <v>240560.7477</v>
      </c>
      <c r="L30" s="38">
        <f t="shared" si="4"/>
        <v>262429.9065</v>
      </c>
      <c r="M30" s="38">
        <f t="shared" si="4"/>
        <v>284299.0654</v>
      </c>
      <c r="N30" s="38">
        <f t="shared" si="4"/>
        <v>306168.2243</v>
      </c>
      <c r="O30" s="38">
        <f t="shared" si="4"/>
        <v>328037.3832</v>
      </c>
      <c r="P30" s="38">
        <f t="shared" si="4"/>
        <v>349906.5421</v>
      </c>
      <c r="Q30" s="38">
        <f t="shared" si="4"/>
        <v>371775.7009</v>
      </c>
      <c r="R30" s="38">
        <f t="shared" si="4"/>
        <v>393644.8598</v>
      </c>
      <c r="S30" s="38">
        <f t="shared" si="4"/>
        <v>415514.0187</v>
      </c>
      <c r="T30" s="38">
        <f t="shared" si="4"/>
        <v>437383.1776</v>
      </c>
      <c r="U30" s="38">
        <f t="shared" si="4"/>
        <v>459252.3364</v>
      </c>
      <c r="V30" s="38">
        <f t="shared" si="4"/>
        <v>481121.4953</v>
      </c>
      <c r="W30" s="38">
        <f t="shared" si="4"/>
        <v>502990.6542</v>
      </c>
      <c r="X30" s="38">
        <f t="shared" si="4"/>
        <v>524859.8131</v>
      </c>
      <c r="Y30" s="38">
        <f t="shared" si="4"/>
        <v>546728.972</v>
      </c>
      <c r="Z30" s="38">
        <f t="shared" si="4"/>
        <v>568598.1308</v>
      </c>
      <c r="AA30" s="38">
        <f t="shared" si="4"/>
        <v>590467.2897</v>
      </c>
      <c r="AB30" s="38">
        <f t="shared" si="4"/>
        <v>612336.4486</v>
      </c>
      <c r="AC30" s="38">
        <f t="shared" si="4"/>
        <v>634205.6075</v>
      </c>
      <c r="AD30" s="38">
        <f t="shared" si="4"/>
        <v>656074.7664</v>
      </c>
      <c r="AE30" s="38">
        <f t="shared" si="4"/>
        <v>677943.9252</v>
      </c>
      <c r="AF30" s="38">
        <f t="shared" si="4"/>
        <v>699813.0841</v>
      </c>
      <c r="AG30" s="38">
        <f t="shared" si="4"/>
        <v>721682.243</v>
      </c>
      <c r="AH30" s="38">
        <f t="shared" si="4"/>
        <v>743551.4019</v>
      </c>
      <c r="AI30" s="38">
        <f t="shared" si="4"/>
        <v>765420.5607</v>
      </c>
      <c r="AJ30" s="38">
        <f t="shared" si="4"/>
        <v>787289.7196</v>
      </c>
      <c r="AK30" s="38">
        <f t="shared" si="4"/>
        <v>809158.8785</v>
      </c>
      <c r="AL30" s="38">
        <f t="shared" si="4"/>
        <v>831028.0374</v>
      </c>
      <c r="AM30" s="38">
        <f t="shared" si="4"/>
        <v>852897.1963</v>
      </c>
      <c r="AN30" s="38">
        <f t="shared" si="4"/>
        <v>874766.3551</v>
      </c>
      <c r="AO30" s="38">
        <f t="shared" si="4"/>
        <v>896635.514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ht="15.75" customHeight="1">
      <c r="A31" s="1" t="s">
        <v>175</v>
      </c>
      <c r="B31" s="40">
        <f>Datengrundlage!$C$17/1.07*B3*12</f>
        <v>43738.31776</v>
      </c>
      <c r="C31" s="40">
        <f>Datengrundlage!$C$17/1.07*C3*12</f>
        <v>65607.47664</v>
      </c>
      <c r="D31" s="40">
        <f>Datengrundlage!$C$17/1.07*D3*12</f>
        <v>87476.63551</v>
      </c>
      <c r="E31" s="40">
        <f>Datengrundlage!$C$17/1.07*E3*12</f>
        <v>109345.7944</v>
      </c>
      <c r="F31" s="40">
        <f>Datengrundlage!$C$17/1.07*F3*12</f>
        <v>131214.9533</v>
      </c>
      <c r="G31" s="40">
        <f>Datengrundlage!$C$17/1.07*G3*12</f>
        <v>153084.1121</v>
      </c>
      <c r="H31" s="40">
        <f>Datengrundlage!$C$17/1.07*H3*12</f>
        <v>174953.271</v>
      </c>
      <c r="I31" s="40">
        <f>Datengrundlage!$C$17/1.07*I3*12</f>
        <v>196822.4299</v>
      </c>
      <c r="J31" s="40">
        <f>Datengrundlage!$C$17/1.07*J3*12</f>
        <v>218691.5888</v>
      </c>
      <c r="K31" s="41">
        <f>Datengrundlage!$C$17/1.07*K3*12</f>
        <v>240560.7477</v>
      </c>
      <c r="L31" s="40">
        <f>Datengrundlage!$C$17/1.07*L3*12</f>
        <v>262429.9065</v>
      </c>
      <c r="M31" s="40">
        <f>Datengrundlage!$C$17/1.07*M3*12</f>
        <v>284299.0654</v>
      </c>
      <c r="N31" s="40">
        <f>Datengrundlage!$C$17/1.07*N3*12</f>
        <v>306168.2243</v>
      </c>
      <c r="O31" s="40">
        <f>Datengrundlage!$C$17/1.07*O3*12</f>
        <v>328037.3832</v>
      </c>
      <c r="P31" s="40">
        <f>Datengrundlage!$C$17/1.07*P3*12</f>
        <v>349906.5421</v>
      </c>
      <c r="Q31" s="40">
        <f>Datengrundlage!$C$17/1.07*Q3*12</f>
        <v>371775.7009</v>
      </c>
      <c r="R31" s="40">
        <f>Datengrundlage!$C$17/1.07*R3*12</f>
        <v>393644.8598</v>
      </c>
      <c r="S31" s="40">
        <f>Datengrundlage!$C$17/1.07*S3*12</f>
        <v>415514.0187</v>
      </c>
      <c r="T31" s="40">
        <f>Datengrundlage!$C$17/1.07*T3*12</f>
        <v>437383.1776</v>
      </c>
      <c r="U31" s="40">
        <f>Datengrundlage!$C$17/1.07*U3*12</f>
        <v>459252.3364</v>
      </c>
      <c r="V31" s="40">
        <f>Datengrundlage!$C$17/1.07*V3*12</f>
        <v>481121.4953</v>
      </c>
      <c r="W31" s="40">
        <f>Datengrundlage!$C$17/1.07*W3*12</f>
        <v>502990.6542</v>
      </c>
      <c r="X31" s="40">
        <f>Datengrundlage!$C$17/1.07*X3*12</f>
        <v>524859.8131</v>
      </c>
      <c r="Y31" s="40">
        <f>Datengrundlage!$C$17/1.07*Y3*12</f>
        <v>546728.972</v>
      </c>
      <c r="Z31" s="40">
        <f>Datengrundlage!$C$17/1.07*Z3*12</f>
        <v>568598.1308</v>
      </c>
      <c r="AA31" s="40">
        <f>Datengrundlage!$C$17/1.07*AA3*12</f>
        <v>590467.2897</v>
      </c>
      <c r="AB31" s="40">
        <f>Datengrundlage!$C$17/1.07*AB3*12</f>
        <v>612336.4486</v>
      </c>
      <c r="AC31" s="40">
        <f>Datengrundlage!$C$17/1.07*AC3*12</f>
        <v>634205.6075</v>
      </c>
      <c r="AD31" s="40">
        <f>Datengrundlage!$C$17/1.07*AD3*12</f>
        <v>656074.7664</v>
      </c>
      <c r="AE31" s="40">
        <f>Datengrundlage!$C$17/1.07*AE3*12</f>
        <v>677943.9252</v>
      </c>
      <c r="AF31" s="40">
        <f>Datengrundlage!$C$17/1.07*AF3*12</f>
        <v>699813.0841</v>
      </c>
      <c r="AG31" s="40">
        <f>Datengrundlage!$C$17/1.07*AG3*12</f>
        <v>721682.243</v>
      </c>
      <c r="AH31" s="40">
        <f>Datengrundlage!$C$17/1.07*AH3*12</f>
        <v>743551.4019</v>
      </c>
      <c r="AI31" s="40">
        <f>Datengrundlage!$C$17/1.07*AI3*12</f>
        <v>765420.5607</v>
      </c>
      <c r="AJ31" s="40">
        <f>Datengrundlage!$C$17/1.07*AJ3*12</f>
        <v>787289.7196</v>
      </c>
      <c r="AK31" s="40">
        <f>Datengrundlage!$C$17/1.07*AK3*12</f>
        <v>809158.8785</v>
      </c>
      <c r="AL31" s="40">
        <f>Datengrundlage!$C$17/1.07*AL3*12</f>
        <v>831028.0374</v>
      </c>
      <c r="AM31" s="40">
        <f>Datengrundlage!$C$17/1.07*AM3*12</f>
        <v>852897.1963</v>
      </c>
      <c r="AN31" s="40">
        <f>Datengrundlage!$C$17/1.07*AN3*12</f>
        <v>874766.3551</v>
      </c>
      <c r="AO31" s="40">
        <f>Datengrundlage!$C$17/1.07*AO3*12</f>
        <v>896635.514</v>
      </c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</row>
    <row r="32" ht="15.75" customHeight="1">
      <c r="A32" s="1" t="s">
        <v>176</v>
      </c>
      <c r="B32" s="40">
        <v>1800.0</v>
      </c>
      <c r="C32" s="40">
        <v>1800.0</v>
      </c>
      <c r="D32" s="40">
        <v>1800.0</v>
      </c>
      <c r="E32" s="40">
        <v>1800.0</v>
      </c>
      <c r="F32" s="40">
        <v>1800.0</v>
      </c>
      <c r="G32" s="40">
        <v>1800.0</v>
      </c>
      <c r="H32" s="40">
        <v>1800.0</v>
      </c>
      <c r="I32" s="40">
        <f>I3/20*Datengrundlage!$C$23*Datengrundlage!$C$24*12</f>
        <v>0</v>
      </c>
      <c r="J32" s="40">
        <f>J3/20*Datengrundlage!$C$23*Datengrundlage!$C$24*12</f>
        <v>0</v>
      </c>
      <c r="K32" s="41">
        <f>K3/20*Datengrundlage!$C$23*Datengrundlage!$C$24*12</f>
        <v>0</v>
      </c>
      <c r="L32" s="40">
        <f>L3/20*Datengrundlage!$C$23*Datengrundlage!$C$24*12</f>
        <v>0</v>
      </c>
      <c r="M32" s="40">
        <f>M3/20*Datengrundlage!$C$23*Datengrundlage!$C$24*12</f>
        <v>0</v>
      </c>
      <c r="N32" s="40">
        <f>N3/20*Datengrundlage!$C$23*Datengrundlage!$C$24*12</f>
        <v>0</v>
      </c>
      <c r="O32" s="40">
        <f>O3/20*Datengrundlage!$C$23*Datengrundlage!$C$24*12</f>
        <v>0</v>
      </c>
      <c r="P32" s="40">
        <f>P3/20*Datengrundlage!$C$23*Datengrundlage!$C$24*12</f>
        <v>0</v>
      </c>
      <c r="Q32" s="40">
        <f>Q3/20*Datengrundlage!$C$23*Datengrundlage!$C$24*12</f>
        <v>0</v>
      </c>
      <c r="R32" s="40">
        <f>R3/20*Datengrundlage!$C$23*Datengrundlage!$C$24*12</f>
        <v>0</v>
      </c>
      <c r="S32" s="40">
        <f>S3/20*Datengrundlage!$C$23*Datengrundlage!$C$24*12</f>
        <v>0</v>
      </c>
      <c r="T32" s="40">
        <f>T3/20*Datengrundlage!$C$23*Datengrundlage!$C$24*12</f>
        <v>0</v>
      </c>
      <c r="U32" s="40">
        <f>U3/20*Datengrundlage!$C$23*Datengrundlage!$C$24*12</f>
        <v>0</v>
      </c>
      <c r="V32" s="40">
        <f>V3/20*Datengrundlage!$C$23*Datengrundlage!$C$24*12</f>
        <v>0</v>
      </c>
      <c r="W32" s="40">
        <f>W3/20*Datengrundlage!$C$23*Datengrundlage!$C$24*12</f>
        <v>0</v>
      </c>
      <c r="X32" s="40">
        <f>X3/20*Datengrundlage!$C$23*Datengrundlage!$C$24*12</f>
        <v>0</v>
      </c>
      <c r="Y32" s="40">
        <f>Y3/20*Datengrundlage!$C$23*Datengrundlage!$C$24*12</f>
        <v>0</v>
      </c>
      <c r="Z32" s="40">
        <f>Z3/20*Datengrundlage!$C$23*Datengrundlage!$C$24*12</f>
        <v>0</v>
      </c>
      <c r="AA32" s="40">
        <f>AA3/20*Datengrundlage!$C$23*Datengrundlage!$C$24*12</f>
        <v>0</v>
      </c>
      <c r="AB32" s="40">
        <f>AB3/20*Datengrundlage!$C$23*Datengrundlage!$C$24*12</f>
        <v>0</v>
      </c>
      <c r="AC32" s="40">
        <f>AC3/20*Datengrundlage!$C$23*Datengrundlage!$C$24*12</f>
        <v>0</v>
      </c>
      <c r="AD32" s="40">
        <f>AD3/20*Datengrundlage!$C$23*Datengrundlage!$C$24*12</f>
        <v>0</v>
      </c>
      <c r="AE32" s="40">
        <f>AE3/20*Datengrundlage!$C$23*Datengrundlage!$C$24*12</f>
        <v>0</v>
      </c>
      <c r="AF32" s="40">
        <f>AF3/20*Datengrundlage!$C$23*Datengrundlage!$C$24*12</f>
        <v>0</v>
      </c>
      <c r="AG32" s="40">
        <f>AG3/20*Datengrundlage!$C$23*Datengrundlage!$C$24*12</f>
        <v>0</v>
      </c>
      <c r="AH32" s="40">
        <f>AH3/20*Datengrundlage!$C$23*Datengrundlage!$C$24*12</f>
        <v>0</v>
      </c>
      <c r="AI32" s="40">
        <f>AI3/20*Datengrundlage!$C$23*Datengrundlage!$C$24*12</f>
        <v>0</v>
      </c>
      <c r="AJ32" s="40">
        <f>AJ3/20*Datengrundlage!$C$23*Datengrundlage!$C$24*12</f>
        <v>0</v>
      </c>
      <c r="AK32" s="40">
        <f>AK3/20*Datengrundlage!$C$23*Datengrundlage!$C$24*12</f>
        <v>0</v>
      </c>
      <c r="AL32" s="40">
        <f>AL3/20*Datengrundlage!$C$23*Datengrundlage!$C$24*12</f>
        <v>0</v>
      </c>
      <c r="AM32" s="40">
        <f>AM3/20*Datengrundlage!$C$23*Datengrundlage!$C$24*12</f>
        <v>0</v>
      </c>
      <c r="AN32" s="40">
        <f>AN3/20*Datengrundlage!$C$23*Datengrundlage!$C$24*12</f>
        <v>0</v>
      </c>
      <c r="AO32" s="40">
        <f>AO3/20*Datengrundlage!$C$23*Datengrundlage!$C$24*12</f>
        <v>0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ht="15.75" hidden="1" customHeight="1">
      <c r="A34" s="5" t="s">
        <v>177</v>
      </c>
      <c r="B34" s="38">
        <f t="shared" ref="B34:AO34" si="5">SUM(B35:B39)</f>
        <v>0</v>
      </c>
      <c r="C34" s="42">
        <f t="shared" si="5"/>
        <v>0</v>
      </c>
      <c r="D34" s="43">
        <f t="shared" si="5"/>
        <v>0</v>
      </c>
      <c r="E34" s="38">
        <f t="shared" si="5"/>
        <v>0</v>
      </c>
      <c r="F34" s="38">
        <f t="shared" si="5"/>
        <v>0</v>
      </c>
      <c r="G34" s="44">
        <f t="shared" si="5"/>
        <v>0</v>
      </c>
      <c r="H34" s="38">
        <f t="shared" si="5"/>
        <v>0</v>
      </c>
      <c r="I34" s="38">
        <f t="shared" si="5"/>
        <v>0</v>
      </c>
      <c r="J34" s="38">
        <f t="shared" si="5"/>
        <v>0</v>
      </c>
      <c r="K34" s="39">
        <f t="shared" si="5"/>
        <v>0</v>
      </c>
      <c r="L34" s="38">
        <f t="shared" si="5"/>
        <v>0</v>
      </c>
      <c r="M34" s="38">
        <f t="shared" si="5"/>
        <v>0</v>
      </c>
      <c r="N34" s="38">
        <f t="shared" si="5"/>
        <v>0</v>
      </c>
      <c r="O34" s="38">
        <f t="shared" si="5"/>
        <v>0</v>
      </c>
      <c r="P34" s="38">
        <f t="shared" si="5"/>
        <v>0</v>
      </c>
      <c r="Q34" s="38">
        <f t="shared" si="5"/>
        <v>0</v>
      </c>
      <c r="R34" s="38">
        <f t="shared" si="5"/>
        <v>0</v>
      </c>
      <c r="S34" s="38">
        <f t="shared" si="5"/>
        <v>0</v>
      </c>
      <c r="T34" s="38">
        <f t="shared" si="5"/>
        <v>0</v>
      </c>
      <c r="U34" s="38">
        <f t="shared" si="5"/>
        <v>0</v>
      </c>
      <c r="V34" s="38">
        <f t="shared" si="5"/>
        <v>0</v>
      </c>
      <c r="W34" s="38">
        <f t="shared" si="5"/>
        <v>0</v>
      </c>
      <c r="X34" s="38">
        <f t="shared" si="5"/>
        <v>0</v>
      </c>
      <c r="Y34" s="38">
        <f t="shared" si="5"/>
        <v>0</v>
      </c>
      <c r="Z34" s="38">
        <f t="shared" si="5"/>
        <v>0</v>
      </c>
      <c r="AA34" s="38">
        <f t="shared" si="5"/>
        <v>0</v>
      </c>
      <c r="AB34" s="38">
        <f t="shared" si="5"/>
        <v>0</v>
      </c>
      <c r="AC34" s="38">
        <f t="shared" si="5"/>
        <v>0</v>
      </c>
      <c r="AD34" s="38">
        <f t="shared" si="5"/>
        <v>0</v>
      </c>
      <c r="AE34" s="38">
        <f t="shared" si="5"/>
        <v>0</v>
      </c>
      <c r="AF34" s="38">
        <f t="shared" si="5"/>
        <v>0</v>
      </c>
      <c r="AG34" s="38">
        <f t="shared" si="5"/>
        <v>0</v>
      </c>
      <c r="AH34" s="38">
        <f t="shared" si="5"/>
        <v>0</v>
      </c>
      <c r="AI34" s="38">
        <f t="shared" si="5"/>
        <v>0</v>
      </c>
      <c r="AJ34" s="38">
        <f t="shared" si="5"/>
        <v>0</v>
      </c>
      <c r="AK34" s="38">
        <f t="shared" si="5"/>
        <v>0</v>
      </c>
      <c r="AL34" s="38">
        <f t="shared" si="5"/>
        <v>0</v>
      </c>
      <c r="AM34" s="38">
        <f t="shared" si="5"/>
        <v>0</v>
      </c>
      <c r="AN34" s="38">
        <f t="shared" si="5"/>
        <v>0</v>
      </c>
      <c r="AO34" s="38">
        <f t="shared" si="5"/>
        <v>0</v>
      </c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</row>
    <row r="35" ht="15.75" hidden="1" customHeight="1">
      <c r="A35" s="45" t="s">
        <v>178</v>
      </c>
      <c r="B35" s="40">
        <f>Datengrundlage!$C$32*Datengrundlage!$C$36</f>
        <v>0</v>
      </c>
      <c r="C35" s="46">
        <f>Datengrundlage!$C$32*Datengrundlage!$C$36</f>
        <v>0</v>
      </c>
      <c r="D35" s="47">
        <f>Datengrundlage!$C$32*Datengrundlage!$C$36</f>
        <v>0</v>
      </c>
      <c r="E35" s="40">
        <f>Datengrundlage!$C$32*Datengrundlage!$C$36</f>
        <v>0</v>
      </c>
      <c r="F35" s="40">
        <f>Datengrundlage!$C$32*Datengrundlage!$C$36</f>
        <v>0</v>
      </c>
      <c r="G35" s="48">
        <f>Datengrundlage!$C$32*Datengrundlage!$C$36</f>
        <v>0</v>
      </c>
      <c r="H35" s="40">
        <f>Datengrundlage!$C$32*Datengrundlage!$C$36</f>
        <v>0</v>
      </c>
      <c r="I35" s="40">
        <f>Datengrundlage!$C$32*Datengrundlage!$C$36</f>
        <v>0</v>
      </c>
      <c r="J35" s="40">
        <f>Datengrundlage!$C$32*Datengrundlage!$C$36</f>
        <v>0</v>
      </c>
      <c r="K35" s="41">
        <f>Datengrundlage!$C$32*Datengrundlage!$C$36</f>
        <v>0</v>
      </c>
      <c r="L35" s="40">
        <f>Datengrundlage!$C$32*Datengrundlage!$C$36</f>
        <v>0</v>
      </c>
      <c r="M35" s="40">
        <f>Datengrundlage!$C$32*Datengrundlage!$C$36</f>
        <v>0</v>
      </c>
      <c r="N35" s="40">
        <f>Datengrundlage!$C$32*Datengrundlage!$C$36</f>
        <v>0</v>
      </c>
      <c r="O35" s="40">
        <f>Datengrundlage!$C$32*Datengrundlage!$C$36</f>
        <v>0</v>
      </c>
      <c r="P35" s="40">
        <f>Datengrundlage!$C$32*Datengrundlage!$C$36</f>
        <v>0</v>
      </c>
      <c r="Q35" s="40">
        <f>Datengrundlage!$C$32*Datengrundlage!$C$36</f>
        <v>0</v>
      </c>
      <c r="R35" s="40">
        <f>Datengrundlage!$C$32*Datengrundlage!$C$36</f>
        <v>0</v>
      </c>
      <c r="S35" s="40">
        <f>Datengrundlage!$C$32*Datengrundlage!$C$36</f>
        <v>0</v>
      </c>
      <c r="T35" s="40">
        <f>Datengrundlage!$C$32*Datengrundlage!$C$36</f>
        <v>0</v>
      </c>
      <c r="U35" s="40">
        <f>Datengrundlage!$C$32*Datengrundlage!$C$36</f>
        <v>0</v>
      </c>
      <c r="V35" s="40">
        <f>Datengrundlage!$C$32*Datengrundlage!$C$36</f>
        <v>0</v>
      </c>
      <c r="W35" s="40">
        <f>Datengrundlage!$C$32*Datengrundlage!$C$36</f>
        <v>0</v>
      </c>
      <c r="X35" s="40">
        <f>Datengrundlage!$C$32*Datengrundlage!$C$36</f>
        <v>0</v>
      </c>
      <c r="Y35" s="40">
        <f>Datengrundlage!$C$32*Datengrundlage!$C$36</f>
        <v>0</v>
      </c>
      <c r="Z35" s="40">
        <f>Datengrundlage!$C$32*Datengrundlage!$C$36</f>
        <v>0</v>
      </c>
      <c r="AA35" s="40">
        <f>Datengrundlage!$C$32*Datengrundlage!$C$36</f>
        <v>0</v>
      </c>
      <c r="AB35" s="40">
        <f>Datengrundlage!$C$32*Datengrundlage!$C$36</f>
        <v>0</v>
      </c>
      <c r="AC35" s="40">
        <f>Datengrundlage!$C$32*Datengrundlage!$C$36</f>
        <v>0</v>
      </c>
      <c r="AD35" s="40">
        <f>Datengrundlage!$C$32*Datengrundlage!$C$36</f>
        <v>0</v>
      </c>
      <c r="AE35" s="40">
        <f>Datengrundlage!$C$32*Datengrundlage!$C$36</f>
        <v>0</v>
      </c>
      <c r="AF35" s="40">
        <f>Datengrundlage!$C$32*Datengrundlage!$C$36</f>
        <v>0</v>
      </c>
      <c r="AG35" s="40">
        <f>Datengrundlage!$C$32*Datengrundlage!$C$36</f>
        <v>0</v>
      </c>
      <c r="AH35" s="40">
        <f>Datengrundlage!$C$32*Datengrundlage!$C$36</f>
        <v>0</v>
      </c>
      <c r="AI35" s="40">
        <f>Datengrundlage!$C$32*Datengrundlage!$C$36</f>
        <v>0</v>
      </c>
      <c r="AJ35" s="40">
        <f>Datengrundlage!$C$32*Datengrundlage!$C$36</f>
        <v>0</v>
      </c>
      <c r="AK35" s="40">
        <f>Datengrundlage!$C$32*Datengrundlage!$C$36</f>
        <v>0</v>
      </c>
      <c r="AL35" s="40">
        <f>Datengrundlage!$C$32*Datengrundlage!$C$36</f>
        <v>0</v>
      </c>
      <c r="AM35" s="40">
        <f>Datengrundlage!$C$32*Datengrundlage!$C$36</f>
        <v>0</v>
      </c>
      <c r="AN35" s="40">
        <f>Datengrundlage!$C$32*Datengrundlage!$C$36</f>
        <v>0</v>
      </c>
      <c r="AO35" s="40">
        <f>Datengrundlage!$C$32*Datengrundlage!$C$36</f>
        <v>0</v>
      </c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</row>
    <row r="36" ht="15.75" hidden="1" customHeight="1">
      <c r="A36" s="1" t="s">
        <v>179</v>
      </c>
      <c r="B36" s="40">
        <f>Datengrundlage!$C$8*B3*Datengrundlage!$C$9</f>
        <v>0</v>
      </c>
      <c r="C36" s="46">
        <f>Datengrundlage!$C$8*C3*Datengrundlage!$C$9</f>
        <v>0</v>
      </c>
      <c r="D36" s="47">
        <f>Datengrundlage!$C$8*D3*Datengrundlage!$C$9</f>
        <v>0</v>
      </c>
      <c r="E36" s="40">
        <f>Datengrundlage!$C$8*E3*Datengrundlage!$C$9</f>
        <v>0</v>
      </c>
      <c r="F36" s="40">
        <f>Datengrundlage!$C$8*F3*Datengrundlage!$C$9</f>
        <v>0</v>
      </c>
      <c r="G36" s="48">
        <f>Datengrundlage!$C$8*G3*Datengrundlage!$C$9</f>
        <v>0</v>
      </c>
      <c r="H36" s="40">
        <f>Datengrundlage!$C$8*H3*Datengrundlage!$C$9</f>
        <v>0</v>
      </c>
      <c r="I36" s="40">
        <f>Datengrundlage!$C$8*I3*Datengrundlage!$C$9</f>
        <v>0</v>
      </c>
      <c r="J36" s="40">
        <f>Datengrundlage!$C$8*J3*Datengrundlage!$C$9</f>
        <v>0</v>
      </c>
      <c r="K36" s="41">
        <f>Datengrundlage!$C$8*K3*Datengrundlage!$C$9</f>
        <v>0</v>
      </c>
      <c r="L36" s="40">
        <f>Datengrundlage!$C$8*L3*Datengrundlage!$C$9</f>
        <v>0</v>
      </c>
      <c r="M36" s="40">
        <f>Datengrundlage!$C$8*M3*Datengrundlage!$C$9</f>
        <v>0</v>
      </c>
      <c r="N36" s="40">
        <f>Datengrundlage!$C$8*N3*Datengrundlage!$C$9</f>
        <v>0</v>
      </c>
      <c r="O36" s="40">
        <f>Datengrundlage!$C$8*O3*Datengrundlage!$C$9</f>
        <v>0</v>
      </c>
      <c r="P36" s="40">
        <f>Datengrundlage!$C$8*P3*Datengrundlage!$C$9</f>
        <v>0</v>
      </c>
      <c r="Q36" s="40">
        <f>Datengrundlage!$C$8*Q3*Datengrundlage!$C$9</f>
        <v>0</v>
      </c>
      <c r="R36" s="40">
        <f>Datengrundlage!$C$8*R3*Datengrundlage!$C$9</f>
        <v>0</v>
      </c>
      <c r="S36" s="40">
        <f>Datengrundlage!$C$8*S3*Datengrundlage!$C$9</f>
        <v>0</v>
      </c>
      <c r="T36" s="40">
        <f>Datengrundlage!$C$8*T3*Datengrundlage!$C$9</f>
        <v>0</v>
      </c>
      <c r="U36" s="40">
        <f>Datengrundlage!$C$8*U3*Datengrundlage!$C$9</f>
        <v>0</v>
      </c>
      <c r="V36" s="40">
        <f>Datengrundlage!$C$8*V3*Datengrundlage!$C$9</f>
        <v>0</v>
      </c>
      <c r="W36" s="40">
        <f>Datengrundlage!$C$8*W3*Datengrundlage!$C$9</f>
        <v>0</v>
      </c>
      <c r="X36" s="40">
        <f>Datengrundlage!$C$8*X3*Datengrundlage!$C$9</f>
        <v>0</v>
      </c>
      <c r="Y36" s="40">
        <f>Datengrundlage!$C$8*Y3*Datengrundlage!$C$9</f>
        <v>0</v>
      </c>
      <c r="Z36" s="40">
        <f>Datengrundlage!$C$8*Z3*Datengrundlage!$C$9</f>
        <v>0</v>
      </c>
      <c r="AA36" s="40">
        <f>Datengrundlage!$C$8*AA3*Datengrundlage!$C$9</f>
        <v>0</v>
      </c>
      <c r="AB36" s="40">
        <f>Datengrundlage!$C$8*AB3*Datengrundlage!$C$9</f>
        <v>0</v>
      </c>
      <c r="AC36" s="40">
        <f>Datengrundlage!$C$8*AC3*Datengrundlage!$C$9</f>
        <v>0</v>
      </c>
      <c r="AD36" s="40">
        <f>Datengrundlage!$C$8*AD3*Datengrundlage!$C$9</f>
        <v>0</v>
      </c>
      <c r="AE36" s="40">
        <f>Datengrundlage!$C$8*AE3*Datengrundlage!$C$9</f>
        <v>0</v>
      </c>
      <c r="AF36" s="40">
        <f>Datengrundlage!$C$8*AF3*Datengrundlage!$C$9</f>
        <v>0</v>
      </c>
      <c r="AG36" s="40">
        <f>Datengrundlage!$C$8*AG3*Datengrundlage!$C$9</f>
        <v>0</v>
      </c>
      <c r="AH36" s="40">
        <f>Datengrundlage!$C$8*AH3*Datengrundlage!$C$9</f>
        <v>0</v>
      </c>
      <c r="AI36" s="40">
        <f>Datengrundlage!$C$8*AI3*Datengrundlage!$C$9</f>
        <v>0</v>
      </c>
      <c r="AJ36" s="40">
        <f>Datengrundlage!$C$8*AJ3*Datengrundlage!$C$9</f>
        <v>0</v>
      </c>
      <c r="AK36" s="40">
        <f>Datengrundlage!$C$8*AK3*Datengrundlage!$C$9</f>
        <v>0</v>
      </c>
      <c r="AL36" s="40">
        <f>Datengrundlage!$C$8*AL3*Datengrundlage!$C$9</f>
        <v>0</v>
      </c>
      <c r="AM36" s="40">
        <f>Datengrundlage!$C$8*AM3*Datengrundlage!$C$9</f>
        <v>0</v>
      </c>
      <c r="AN36" s="40">
        <f>Datengrundlage!$C$8*AN3*Datengrundlage!$C$9</f>
        <v>0</v>
      </c>
      <c r="AO36" s="40">
        <f>Datengrundlage!$C$8*AO3*Datengrundlage!$C$9</f>
        <v>0</v>
      </c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</row>
    <row r="37" ht="15.75" hidden="1" customHeight="1">
      <c r="A37" s="1" t="s">
        <v>180</v>
      </c>
      <c r="B37" s="40">
        <f>Datengrundlage!$C$32*Datengrundlage!$C$35</f>
        <v>0</v>
      </c>
      <c r="C37" s="46">
        <f>Datengrundlage!$C$32*Datengrundlage!$C$35</f>
        <v>0</v>
      </c>
      <c r="D37" s="47">
        <f>Datengrundlage!$C$32*Datengrundlage!$C$35</f>
        <v>0</v>
      </c>
      <c r="E37" s="40">
        <f>Datengrundlage!$C$32*Datengrundlage!$C$35</f>
        <v>0</v>
      </c>
      <c r="F37" s="40">
        <f>Datengrundlage!$C$32*Datengrundlage!$C$35</f>
        <v>0</v>
      </c>
      <c r="G37" s="48">
        <f>Datengrundlage!$C$32*Datengrundlage!$C$35</f>
        <v>0</v>
      </c>
      <c r="H37" s="40">
        <f>Datengrundlage!$C$32*Datengrundlage!$C$35</f>
        <v>0</v>
      </c>
      <c r="I37" s="40">
        <f>Datengrundlage!$C$32*Datengrundlage!$C$35</f>
        <v>0</v>
      </c>
      <c r="J37" s="40">
        <f>Datengrundlage!$C$32*Datengrundlage!$C$35</f>
        <v>0</v>
      </c>
      <c r="K37" s="41">
        <f>Datengrundlage!$C$32*Datengrundlage!$C$35</f>
        <v>0</v>
      </c>
      <c r="L37" s="40">
        <f>Datengrundlage!$C$32*Datengrundlage!$C$35</f>
        <v>0</v>
      </c>
      <c r="M37" s="40">
        <f>Datengrundlage!$C$32*Datengrundlage!$C$35</f>
        <v>0</v>
      </c>
      <c r="N37" s="40">
        <f>Datengrundlage!$C$32*Datengrundlage!$C$35</f>
        <v>0</v>
      </c>
      <c r="O37" s="40">
        <f>Datengrundlage!$C$32*Datengrundlage!$C$35</f>
        <v>0</v>
      </c>
      <c r="P37" s="40">
        <f>Datengrundlage!$C$32*Datengrundlage!$C$35</f>
        <v>0</v>
      </c>
      <c r="Q37" s="40">
        <f>Datengrundlage!$C$32*Datengrundlage!$C$35</f>
        <v>0</v>
      </c>
      <c r="R37" s="40">
        <f>Datengrundlage!$C$32*Datengrundlage!$C$35</f>
        <v>0</v>
      </c>
      <c r="S37" s="40">
        <f>Datengrundlage!$C$32*Datengrundlage!$C$35</f>
        <v>0</v>
      </c>
      <c r="T37" s="40">
        <f>Datengrundlage!$C$32*Datengrundlage!$C$35</f>
        <v>0</v>
      </c>
      <c r="U37" s="40">
        <f>Datengrundlage!$C$32*Datengrundlage!$C$35</f>
        <v>0</v>
      </c>
      <c r="V37" s="40">
        <f>Datengrundlage!$C$32*Datengrundlage!$C$35</f>
        <v>0</v>
      </c>
      <c r="W37" s="40">
        <f>Datengrundlage!$C$32*Datengrundlage!$C$35</f>
        <v>0</v>
      </c>
      <c r="X37" s="40">
        <f>Datengrundlage!$C$32*Datengrundlage!$C$35</f>
        <v>0</v>
      </c>
      <c r="Y37" s="40">
        <f>Datengrundlage!$C$32*Datengrundlage!$C$35</f>
        <v>0</v>
      </c>
      <c r="Z37" s="40">
        <f>Datengrundlage!$C$32*Datengrundlage!$C$35</f>
        <v>0</v>
      </c>
      <c r="AA37" s="40">
        <f>Datengrundlage!$C$32*Datengrundlage!$C$35</f>
        <v>0</v>
      </c>
      <c r="AB37" s="40">
        <f>Datengrundlage!$C$32*Datengrundlage!$C$35</f>
        <v>0</v>
      </c>
      <c r="AC37" s="40">
        <f>Datengrundlage!$C$32*Datengrundlage!$C$35</f>
        <v>0</v>
      </c>
      <c r="AD37" s="40">
        <f>Datengrundlage!$C$32*Datengrundlage!$C$35</f>
        <v>0</v>
      </c>
      <c r="AE37" s="40">
        <f>Datengrundlage!$C$32*Datengrundlage!$C$35</f>
        <v>0</v>
      </c>
      <c r="AF37" s="40">
        <f>Datengrundlage!$C$32*Datengrundlage!$C$35</f>
        <v>0</v>
      </c>
      <c r="AG37" s="40">
        <f>Datengrundlage!$C$32*Datengrundlage!$C$35</f>
        <v>0</v>
      </c>
      <c r="AH37" s="40">
        <f>Datengrundlage!$C$32*Datengrundlage!$C$35</f>
        <v>0</v>
      </c>
      <c r="AI37" s="40">
        <f>Datengrundlage!$C$32*Datengrundlage!$C$35</f>
        <v>0</v>
      </c>
      <c r="AJ37" s="40">
        <f>Datengrundlage!$C$32*Datengrundlage!$C$35</f>
        <v>0</v>
      </c>
      <c r="AK37" s="40">
        <f>Datengrundlage!$C$32*Datengrundlage!$C$35</f>
        <v>0</v>
      </c>
      <c r="AL37" s="40">
        <f>Datengrundlage!$C$32*Datengrundlage!$C$35</f>
        <v>0</v>
      </c>
      <c r="AM37" s="40">
        <f>Datengrundlage!$C$32*Datengrundlage!$C$35</f>
        <v>0</v>
      </c>
      <c r="AN37" s="40">
        <f>Datengrundlage!$C$32*Datengrundlage!$C$35</f>
        <v>0</v>
      </c>
      <c r="AO37" s="40">
        <f>Datengrundlage!$C$32*Datengrundlage!$C$35</f>
        <v>0</v>
      </c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</row>
    <row r="38" ht="15.75" hidden="1" customHeight="1">
      <c r="A38" s="1" t="s">
        <v>181</v>
      </c>
      <c r="B38" s="40">
        <f>6*Datengrundlage!$C$44</f>
        <v>0</v>
      </c>
      <c r="C38" s="46">
        <f>6*Datengrundlage!$C$44</f>
        <v>0</v>
      </c>
      <c r="D38" s="47">
        <f>6*Datengrundlage!$C$44</f>
        <v>0</v>
      </c>
      <c r="E38" s="40">
        <f>6*Datengrundlage!$C$44</f>
        <v>0</v>
      </c>
      <c r="F38" s="40">
        <f>6*Datengrundlage!$C$44</f>
        <v>0</v>
      </c>
      <c r="G38" s="48">
        <f>6*Datengrundlage!$C$44</f>
        <v>0</v>
      </c>
      <c r="H38" s="40">
        <f>6*Datengrundlage!$C$44</f>
        <v>0</v>
      </c>
      <c r="I38" s="40">
        <f>6*Datengrundlage!$C$44</f>
        <v>0</v>
      </c>
      <c r="J38" s="40">
        <f>6*Datengrundlage!$C$44</f>
        <v>0</v>
      </c>
      <c r="K38" s="41">
        <f>6*Datengrundlage!$C$44</f>
        <v>0</v>
      </c>
      <c r="L38" s="40">
        <f>6*Datengrundlage!$C$44</f>
        <v>0</v>
      </c>
      <c r="M38" s="40">
        <f>6*Datengrundlage!$C$44</f>
        <v>0</v>
      </c>
      <c r="N38" s="40">
        <f>6*Datengrundlage!$C$44</f>
        <v>0</v>
      </c>
      <c r="O38" s="40">
        <f>6*Datengrundlage!$C$44</f>
        <v>0</v>
      </c>
      <c r="P38" s="40">
        <f>6*Datengrundlage!$C$44</f>
        <v>0</v>
      </c>
      <c r="Q38" s="40">
        <f>6*Datengrundlage!$C$44</f>
        <v>0</v>
      </c>
      <c r="R38" s="40">
        <f>6*Datengrundlage!$C$44</f>
        <v>0</v>
      </c>
      <c r="S38" s="40">
        <f>6*Datengrundlage!$C$44</f>
        <v>0</v>
      </c>
      <c r="T38" s="40">
        <f>6*Datengrundlage!$C$44</f>
        <v>0</v>
      </c>
      <c r="U38" s="40">
        <f>6*Datengrundlage!$C$44</f>
        <v>0</v>
      </c>
      <c r="V38" s="40">
        <f>6*Datengrundlage!$C$44</f>
        <v>0</v>
      </c>
      <c r="W38" s="40">
        <f>6*Datengrundlage!$C$44</f>
        <v>0</v>
      </c>
      <c r="X38" s="40">
        <f>6*Datengrundlage!$C$44</f>
        <v>0</v>
      </c>
      <c r="Y38" s="40">
        <f>6*Datengrundlage!$C$44</f>
        <v>0</v>
      </c>
      <c r="Z38" s="40">
        <f>6*Datengrundlage!$C$44</f>
        <v>0</v>
      </c>
      <c r="AA38" s="40">
        <f>6*Datengrundlage!$C$44</f>
        <v>0</v>
      </c>
      <c r="AB38" s="40">
        <f>6*Datengrundlage!$C$44</f>
        <v>0</v>
      </c>
      <c r="AC38" s="40">
        <f>6*Datengrundlage!$C$44</f>
        <v>0</v>
      </c>
      <c r="AD38" s="40">
        <f>6*Datengrundlage!$C$44</f>
        <v>0</v>
      </c>
      <c r="AE38" s="40">
        <f>6*Datengrundlage!$C$44</f>
        <v>0</v>
      </c>
      <c r="AF38" s="40">
        <f>6*Datengrundlage!$C$44</f>
        <v>0</v>
      </c>
      <c r="AG38" s="40">
        <f>6*Datengrundlage!$C$44</f>
        <v>0</v>
      </c>
      <c r="AH38" s="40">
        <f>6*Datengrundlage!$C$44</f>
        <v>0</v>
      </c>
      <c r="AI38" s="40">
        <f>6*Datengrundlage!$C$44</f>
        <v>0</v>
      </c>
      <c r="AJ38" s="40">
        <f>6*Datengrundlage!$C$44</f>
        <v>0</v>
      </c>
      <c r="AK38" s="40">
        <f>6*Datengrundlage!$C$44</f>
        <v>0</v>
      </c>
      <c r="AL38" s="40">
        <f>6*Datengrundlage!$C$44</f>
        <v>0</v>
      </c>
      <c r="AM38" s="40">
        <f>6*Datengrundlage!$C$44</f>
        <v>0</v>
      </c>
      <c r="AN38" s="40">
        <f>6*Datengrundlage!$C$44</f>
        <v>0</v>
      </c>
      <c r="AO38" s="40">
        <f>6*Datengrundlage!$C$44</f>
        <v>0</v>
      </c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</row>
    <row r="39" ht="15.75" hidden="1" customHeight="1">
      <c r="A39" s="45" t="s">
        <v>182</v>
      </c>
      <c r="B39" s="12"/>
      <c r="C39" s="49"/>
      <c r="D39" s="50"/>
      <c r="E39" s="12"/>
      <c r="F39" s="12"/>
      <c r="G39" s="51"/>
      <c r="H39" s="12"/>
      <c r="I39" s="12"/>
      <c r="J39" s="12"/>
      <c r="K39" s="27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</row>
    <row r="40" ht="15.75" hidden="1" customHeight="1">
      <c r="A40" s="52" t="s">
        <v>183</v>
      </c>
      <c r="B40" s="40"/>
      <c r="C40" s="46"/>
      <c r="D40" s="47"/>
      <c r="E40" s="40"/>
      <c r="F40" s="40"/>
      <c r="G40" s="48"/>
      <c r="H40" s="40"/>
      <c r="I40" s="40"/>
      <c r="J40" s="40"/>
      <c r="K40" s="41"/>
      <c r="L40" s="40"/>
      <c r="M40" s="40"/>
      <c r="N40" s="40"/>
      <c r="O40" s="40"/>
      <c r="P40" s="40"/>
      <c r="Q40" s="40"/>
      <c r="R40" s="40"/>
      <c r="S40" s="40"/>
      <c r="T40" s="40"/>
      <c r="U40" s="40">
        <v>3000.0</v>
      </c>
      <c r="V40" s="40">
        <v>3000.0</v>
      </c>
      <c r="W40" s="40">
        <v>3000.0</v>
      </c>
      <c r="X40" s="40">
        <v>3000.0</v>
      </c>
      <c r="Y40" s="40">
        <v>3000.0</v>
      </c>
      <c r="Z40" s="40">
        <v>3000.0</v>
      </c>
      <c r="AA40" s="40">
        <v>3000.0</v>
      </c>
      <c r="AB40" s="40">
        <v>3000.0</v>
      </c>
      <c r="AC40" s="40">
        <v>3000.0</v>
      </c>
      <c r="AD40" s="40">
        <v>3000.0</v>
      </c>
      <c r="AE40" s="40">
        <v>3000.0</v>
      </c>
      <c r="AF40" s="40">
        <v>3000.0</v>
      </c>
      <c r="AG40" s="40">
        <v>3000.0</v>
      </c>
      <c r="AH40" s="40">
        <v>3000.0</v>
      </c>
      <c r="AI40" s="40">
        <v>3000.0</v>
      </c>
      <c r="AJ40" s="40">
        <v>3000.0</v>
      </c>
      <c r="AK40" s="40">
        <v>3000.0</v>
      </c>
      <c r="AL40" s="40">
        <v>3000.0</v>
      </c>
      <c r="AM40" s="40">
        <v>3000.0</v>
      </c>
      <c r="AN40" s="40">
        <v>3000.0</v>
      </c>
      <c r="AO40" s="40">
        <v>3000.0</v>
      </c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</row>
    <row r="41" ht="15.75" hidden="1" customHeight="1">
      <c r="A41" s="12"/>
      <c r="B41" s="12"/>
      <c r="C41" s="12"/>
      <c r="D41" s="5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</row>
    <row r="42" ht="15.75" customHeight="1">
      <c r="A42" s="33" t="s">
        <v>184</v>
      </c>
      <c r="B42" s="34">
        <f t="shared" ref="B42:H42" si="6">B44+B65+B74+B105</f>
        <v>65371.62375</v>
      </c>
      <c r="C42" s="34">
        <f t="shared" si="6"/>
        <v>80637.1607</v>
      </c>
      <c r="D42" s="34">
        <f t="shared" si="6"/>
        <v>95552.69765</v>
      </c>
      <c r="E42" s="34">
        <f t="shared" si="6"/>
        <v>110468.2346</v>
      </c>
      <c r="F42" s="34">
        <f t="shared" si="6"/>
        <v>125383.7716</v>
      </c>
      <c r="G42" s="34">
        <f t="shared" si="6"/>
        <v>140299.3085</v>
      </c>
      <c r="H42" s="34">
        <f t="shared" si="6"/>
        <v>155214.8455</v>
      </c>
      <c r="I42" s="35" t="str">
        <f t="shared" ref="I42:AO42" si="7">I44+I65+#REF!+I74+I105</f>
        <v>#REF!</v>
      </c>
      <c r="J42" s="35" t="str">
        <f t="shared" si="7"/>
        <v>#REF!</v>
      </c>
      <c r="K42" s="36" t="str">
        <f t="shared" si="7"/>
        <v>#REF!</v>
      </c>
      <c r="L42" s="35" t="str">
        <f t="shared" si="7"/>
        <v>#REF!</v>
      </c>
      <c r="M42" s="35" t="str">
        <f t="shared" si="7"/>
        <v>#REF!</v>
      </c>
      <c r="N42" s="35" t="str">
        <f t="shared" si="7"/>
        <v>#REF!</v>
      </c>
      <c r="O42" s="35" t="str">
        <f t="shared" si="7"/>
        <v>#REF!</v>
      </c>
      <c r="P42" s="35" t="str">
        <f t="shared" si="7"/>
        <v>#REF!</v>
      </c>
      <c r="Q42" s="35" t="str">
        <f t="shared" si="7"/>
        <v>#REF!</v>
      </c>
      <c r="R42" s="35" t="str">
        <f t="shared" si="7"/>
        <v>#REF!</v>
      </c>
      <c r="S42" s="35" t="str">
        <f t="shared" si="7"/>
        <v>#REF!</v>
      </c>
      <c r="T42" s="35" t="str">
        <f t="shared" si="7"/>
        <v>#REF!</v>
      </c>
      <c r="U42" s="35" t="str">
        <f t="shared" si="7"/>
        <v>#REF!</v>
      </c>
      <c r="V42" s="35" t="str">
        <f t="shared" si="7"/>
        <v>#REF!</v>
      </c>
      <c r="W42" s="35" t="str">
        <f t="shared" si="7"/>
        <v>#REF!</v>
      </c>
      <c r="X42" s="35" t="str">
        <f t="shared" si="7"/>
        <v>#REF!</v>
      </c>
      <c r="Y42" s="35" t="str">
        <f t="shared" si="7"/>
        <v>#REF!</v>
      </c>
      <c r="Z42" s="35" t="str">
        <f t="shared" si="7"/>
        <v>#REF!</v>
      </c>
      <c r="AA42" s="35" t="str">
        <f t="shared" si="7"/>
        <v>#REF!</v>
      </c>
      <c r="AB42" s="35" t="str">
        <f t="shared" si="7"/>
        <v>#REF!</v>
      </c>
      <c r="AC42" s="35" t="str">
        <f t="shared" si="7"/>
        <v>#REF!</v>
      </c>
      <c r="AD42" s="35" t="str">
        <f t="shared" si="7"/>
        <v>#REF!</v>
      </c>
      <c r="AE42" s="35" t="str">
        <f t="shared" si="7"/>
        <v>#REF!</v>
      </c>
      <c r="AF42" s="35" t="str">
        <f t="shared" si="7"/>
        <v>#REF!</v>
      </c>
      <c r="AG42" s="35" t="str">
        <f t="shared" si="7"/>
        <v>#REF!</v>
      </c>
      <c r="AH42" s="35" t="str">
        <f t="shared" si="7"/>
        <v>#REF!</v>
      </c>
      <c r="AI42" s="35" t="str">
        <f t="shared" si="7"/>
        <v>#REF!</v>
      </c>
      <c r="AJ42" s="35" t="str">
        <f t="shared" si="7"/>
        <v>#REF!</v>
      </c>
      <c r="AK42" s="35" t="str">
        <f t="shared" si="7"/>
        <v>#REF!</v>
      </c>
      <c r="AL42" s="35" t="str">
        <f t="shared" si="7"/>
        <v>#REF!</v>
      </c>
      <c r="AM42" s="35" t="str">
        <f t="shared" si="7"/>
        <v>#REF!</v>
      </c>
      <c r="AN42" s="35" t="str">
        <f t="shared" si="7"/>
        <v>#REF!</v>
      </c>
      <c r="AO42" s="35" t="str">
        <f t="shared" si="7"/>
        <v>#REF!</v>
      </c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</row>
    <row r="44" ht="15.75" customHeight="1">
      <c r="A44" s="38" t="s">
        <v>185</v>
      </c>
      <c r="B44" s="38">
        <f t="shared" ref="B44:H44" si="8">SUM(B45:B51)+B52+SUM(B58:B63)</f>
        <v>19640.535</v>
      </c>
      <c r="C44" s="38">
        <f t="shared" si="8"/>
        <v>26725.8025</v>
      </c>
      <c r="D44" s="38">
        <f t="shared" si="8"/>
        <v>33811.07</v>
      </c>
      <c r="E44" s="38">
        <f t="shared" si="8"/>
        <v>40896.3375</v>
      </c>
      <c r="F44" s="38">
        <f t="shared" si="8"/>
        <v>47981.605</v>
      </c>
      <c r="G44" s="38">
        <f t="shared" si="8"/>
        <v>55066.8725</v>
      </c>
      <c r="H44" s="38">
        <f t="shared" si="8"/>
        <v>62152.14</v>
      </c>
      <c r="I44" s="38">
        <f t="shared" ref="I44:AO44" si="9">SUM(I45:I50)+I52+SUM(I58:I63)</f>
        <v>28117.4075</v>
      </c>
      <c r="J44" s="38">
        <f t="shared" si="9"/>
        <v>30402.675</v>
      </c>
      <c r="K44" s="39">
        <f t="shared" si="9"/>
        <v>32687.9425</v>
      </c>
      <c r="L44" s="38">
        <f t="shared" si="9"/>
        <v>34973.21</v>
      </c>
      <c r="M44" s="38">
        <f t="shared" si="9"/>
        <v>37258.4775</v>
      </c>
      <c r="N44" s="38">
        <f t="shared" si="9"/>
        <v>39543.745</v>
      </c>
      <c r="O44" s="38">
        <f t="shared" si="9"/>
        <v>41829.0125</v>
      </c>
      <c r="P44" s="38">
        <f t="shared" si="9"/>
        <v>44114.28</v>
      </c>
      <c r="Q44" s="38">
        <f t="shared" si="9"/>
        <v>46399.5475</v>
      </c>
      <c r="R44" s="38">
        <f t="shared" si="9"/>
        <v>50764.815</v>
      </c>
      <c r="S44" s="38">
        <f t="shared" si="9"/>
        <v>53830.0825</v>
      </c>
      <c r="T44" s="38">
        <f t="shared" si="9"/>
        <v>56115.35</v>
      </c>
      <c r="U44" s="38">
        <f t="shared" si="9"/>
        <v>58400.6175</v>
      </c>
      <c r="V44" s="38">
        <f t="shared" si="9"/>
        <v>60685.885</v>
      </c>
      <c r="W44" s="38">
        <f t="shared" si="9"/>
        <v>62971.1525</v>
      </c>
      <c r="X44" s="38">
        <f t="shared" si="9"/>
        <v>65256.42</v>
      </c>
      <c r="Y44" s="38">
        <f t="shared" si="9"/>
        <v>69621.6875</v>
      </c>
      <c r="Z44" s="38">
        <f t="shared" si="9"/>
        <v>71906.955</v>
      </c>
      <c r="AA44" s="38">
        <f t="shared" si="9"/>
        <v>74192.2225</v>
      </c>
      <c r="AB44" s="38">
        <f t="shared" si="9"/>
        <v>76477.49</v>
      </c>
      <c r="AC44" s="38">
        <f t="shared" si="9"/>
        <v>78762.7575</v>
      </c>
      <c r="AD44" s="38">
        <f t="shared" si="9"/>
        <v>81048.025</v>
      </c>
      <c r="AE44" s="38">
        <f t="shared" si="9"/>
        <v>83333.2925</v>
      </c>
      <c r="AF44" s="38">
        <f t="shared" si="9"/>
        <v>85618.56</v>
      </c>
      <c r="AG44" s="38">
        <f t="shared" si="9"/>
        <v>89983.8275</v>
      </c>
      <c r="AH44" s="38">
        <f t="shared" si="9"/>
        <v>92269.095</v>
      </c>
      <c r="AI44" s="38">
        <f t="shared" si="9"/>
        <v>94554.3625</v>
      </c>
      <c r="AJ44" s="38">
        <f t="shared" si="9"/>
        <v>96839.63</v>
      </c>
      <c r="AK44" s="38">
        <f t="shared" si="9"/>
        <v>99124.8975</v>
      </c>
      <c r="AL44" s="38">
        <f t="shared" si="9"/>
        <v>101410.165</v>
      </c>
      <c r="AM44" s="38">
        <f t="shared" si="9"/>
        <v>106555.4325</v>
      </c>
      <c r="AN44" s="38">
        <f t="shared" si="9"/>
        <v>108840.7</v>
      </c>
      <c r="AO44" s="38">
        <f t="shared" si="9"/>
        <v>111125.9675</v>
      </c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</row>
    <row r="45" ht="15.75" customHeight="1">
      <c r="A45" s="54" t="s">
        <v>186</v>
      </c>
      <c r="B45" s="55">
        <f>B3*Datengrundlage!$C$52</f>
        <v>1600.55</v>
      </c>
      <c r="C45" s="55">
        <f>C3*Datengrundlage!$C$52</f>
        <v>2400.825</v>
      </c>
      <c r="D45" s="55">
        <f>D3*Datengrundlage!$C$52</f>
        <v>3201.1</v>
      </c>
      <c r="E45" s="55">
        <f>E3*Datengrundlage!$C$52</f>
        <v>4001.375</v>
      </c>
      <c r="F45" s="55">
        <f>F3*Datengrundlage!$C$52</f>
        <v>4801.65</v>
      </c>
      <c r="G45" s="55">
        <f>G3*Datengrundlage!$C$52</f>
        <v>5601.925</v>
      </c>
      <c r="H45" s="55">
        <f>H3*Datengrundlage!$C$52</f>
        <v>6402.2</v>
      </c>
      <c r="I45" s="55">
        <f>I3*Datengrundlage!$C$52</f>
        <v>7202.475</v>
      </c>
      <c r="J45" s="55">
        <f>J3*Datengrundlage!$C$52</f>
        <v>8002.75</v>
      </c>
      <c r="K45" s="56">
        <f>K3*Datengrundlage!$C$52</f>
        <v>8803.025</v>
      </c>
      <c r="L45" s="55">
        <f>L3*Datengrundlage!$C$52</f>
        <v>9603.3</v>
      </c>
      <c r="M45" s="55">
        <f>M3*Datengrundlage!$C$52</f>
        <v>10403.575</v>
      </c>
      <c r="N45" s="55">
        <f>N3*Datengrundlage!$C$52</f>
        <v>11203.85</v>
      </c>
      <c r="O45" s="55">
        <f>O3*Datengrundlage!$C$52</f>
        <v>12004.125</v>
      </c>
      <c r="P45" s="55">
        <f>P3*Datengrundlage!$C$52</f>
        <v>12804.4</v>
      </c>
      <c r="Q45" s="55">
        <f>Q3*Datengrundlage!$C$52</f>
        <v>13604.675</v>
      </c>
      <c r="R45" s="55">
        <f>R3*Datengrundlage!$C$52</f>
        <v>14404.95</v>
      </c>
      <c r="S45" s="55">
        <f>S3*Datengrundlage!$C$52</f>
        <v>15205.225</v>
      </c>
      <c r="T45" s="55">
        <f>T3*Datengrundlage!$C$52</f>
        <v>16005.5</v>
      </c>
      <c r="U45" s="55">
        <f>U3*Datengrundlage!$C$52</f>
        <v>16805.775</v>
      </c>
      <c r="V45" s="55">
        <f>V3*Datengrundlage!$C$52</f>
        <v>17606.05</v>
      </c>
      <c r="W45" s="55">
        <f>W3*Datengrundlage!$C$52</f>
        <v>18406.325</v>
      </c>
      <c r="X45" s="55">
        <f>X3*Datengrundlage!$C$52</f>
        <v>19206.6</v>
      </c>
      <c r="Y45" s="55">
        <f>Y3*Datengrundlage!$C$52</f>
        <v>20006.875</v>
      </c>
      <c r="Z45" s="55">
        <f>Z3*Datengrundlage!$C$52</f>
        <v>20807.15</v>
      </c>
      <c r="AA45" s="55">
        <f>AA3*Datengrundlage!$C$52</f>
        <v>21607.425</v>
      </c>
      <c r="AB45" s="55">
        <f>AB3*Datengrundlage!$C$52</f>
        <v>22407.7</v>
      </c>
      <c r="AC45" s="55">
        <f>AC3*Datengrundlage!$C$52</f>
        <v>23207.975</v>
      </c>
      <c r="AD45" s="55">
        <f>AD3*Datengrundlage!$C$52</f>
        <v>24008.25</v>
      </c>
      <c r="AE45" s="55">
        <f>AE3*Datengrundlage!$C$52</f>
        <v>24808.525</v>
      </c>
      <c r="AF45" s="55">
        <f>AF3*Datengrundlage!$C$52</f>
        <v>25608.8</v>
      </c>
      <c r="AG45" s="55">
        <f>AG3*Datengrundlage!$C$52</f>
        <v>26409.075</v>
      </c>
      <c r="AH45" s="55">
        <f>AH3*Datengrundlage!$C$52</f>
        <v>27209.35</v>
      </c>
      <c r="AI45" s="55">
        <f>AI3*Datengrundlage!$C$52</f>
        <v>28009.625</v>
      </c>
      <c r="AJ45" s="55">
        <f>AJ3*Datengrundlage!$C$52</f>
        <v>28809.9</v>
      </c>
      <c r="AK45" s="55">
        <f>AK3*Datengrundlage!$C$52</f>
        <v>29610.175</v>
      </c>
      <c r="AL45" s="55">
        <f>AL3*Datengrundlage!$C$52</f>
        <v>30410.45</v>
      </c>
      <c r="AM45" s="55">
        <f>AM3*Datengrundlage!$C$52</f>
        <v>31210.725</v>
      </c>
      <c r="AN45" s="55">
        <f>AN3*Datengrundlage!$C$52</f>
        <v>32011</v>
      </c>
      <c r="AO45" s="55">
        <f>AO3*Datengrundlage!$C$52</f>
        <v>32811.275</v>
      </c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</row>
    <row r="46" ht="15.75" customHeight="1">
      <c r="A46" s="54" t="s">
        <v>187</v>
      </c>
      <c r="B46" s="55">
        <f>B3*Datengrundlage!$C$53</f>
        <v>1160.25</v>
      </c>
      <c r="C46" s="55">
        <f>C3*Datengrundlage!$C$53</f>
        <v>1740.375</v>
      </c>
      <c r="D46" s="55">
        <f>D3*Datengrundlage!$C$53</f>
        <v>2320.5</v>
      </c>
      <c r="E46" s="55">
        <f>E3*Datengrundlage!$C$53</f>
        <v>2900.625</v>
      </c>
      <c r="F46" s="55">
        <f>F3*Datengrundlage!$C$53</f>
        <v>3480.75</v>
      </c>
      <c r="G46" s="55">
        <f>G3*Datengrundlage!$C$53</f>
        <v>4060.875</v>
      </c>
      <c r="H46" s="55">
        <f>H3*Datengrundlage!$C$53</f>
        <v>4641</v>
      </c>
      <c r="I46" s="55">
        <f>I3*Datengrundlage!$C$53</f>
        <v>5221.125</v>
      </c>
      <c r="J46" s="55">
        <f>J3*Datengrundlage!$C$53</f>
        <v>5801.25</v>
      </c>
      <c r="K46" s="56">
        <f>K3*Datengrundlage!$C$53</f>
        <v>6381.375</v>
      </c>
      <c r="L46" s="55">
        <f>L3*Datengrundlage!$C$53</f>
        <v>6961.5</v>
      </c>
      <c r="M46" s="55">
        <f>M3*Datengrundlage!$C$53</f>
        <v>7541.625</v>
      </c>
      <c r="N46" s="55">
        <f>N3*Datengrundlage!$C$53</f>
        <v>8121.75</v>
      </c>
      <c r="O46" s="55">
        <f>O3*Datengrundlage!$C$53</f>
        <v>8701.875</v>
      </c>
      <c r="P46" s="55">
        <f>P3*Datengrundlage!$C$53</f>
        <v>9282</v>
      </c>
      <c r="Q46" s="55">
        <f>Q3*Datengrundlage!$C$53</f>
        <v>9862.125</v>
      </c>
      <c r="R46" s="55">
        <f>R3*Datengrundlage!$C$53</f>
        <v>10442.25</v>
      </c>
      <c r="S46" s="55">
        <f>S3*Datengrundlage!$C$53</f>
        <v>11022.375</v>
      </c>
      <c r="T46" s="55">
        <f>T3*Datengrundlage!$C$53</f>
        <v>11602.5</v>
      </c>
      <c r="U46" s="55">
        <f>U3*Datengrundlage!$C$53</f>
        <v>12182.625</v>
      </c>
      <c r="V46" s="55">
        <f>V3*Datengrundlage!$C$53</f>
        <v>12762.75</v>
      </c>
      <c r="W46" s="55">
        <f>W3*Datengrundlage!$C$53</f>
        <v>13342.875</v>
      </c>
      <c r="X46" s="55">
        <f>X3*Datengrundlage!$C$53</f>
        <v>13923</v>
      </c>
      <c r="Y46" s="55">
        <f>Y3*Datengrundlage!$C$53</f>
        <v>14503.125</v>
      </c>
      <c r="Z46" s="55">
        <f>Z3*Datengrundlage!$C$53</f>
        <v>15083.25</v>
      </c>
      <c r="AA46" s="55">
        <f>AA3*Datengrundlage!$C$53</f>
        <v>15663.375</v>
      </c>
      <c r="AB46" s="55">
        <f>AB3*Datengrundlage!$C$53</f>
        <v>16243.5</v>
      </c>
      <c r="AC46" s="55">
        <f>AC3*Datengrundlage!$C$53</f>
        <v>16823.625</v>
      </c>
      <c r="AD46" s="55">
        <f>AD3*Datengrundlage!$C$53</f>
        <v>17403.75</v>
      </c>
      <c r="AE46" s="55">
        <f>AE3*Datengrundlage!$C$53</f>
        <v>17983.875</v>
      </c>
      <c r="AF46" s="55">
        <f>AF3*Datengrundlage!$C$53</f>
        <v>18564</v>
      </c>
      <c r="AG46" s="55">
        <f>AG3*Datengrundlage!$C$53</f>
        <v>19144.125</v>
      </c>
      <c r="AH46" s="55">
        <f>AH3*Datengrundlage!$C$53</f>
        <v>19724.25</v>
      </c>
      <c r="AI46" s="55">
        <f>AI3*Datengrundlage!$C$53</f>
        <v>20304.375</v>
      </c>
      <c r="AJ46" s="55">
        <f>AJ3*Datengrundlage!$C$53</f>
        <v>20884.5</v>
      </c>
      <c r="AK46" s="55">
        <f>AK3*Datengrundlage!$C$53</f>
        <v>21464.625</v>
      </c>
      <c r="AL46" s="55">
        <f>AL3*Datengrundlage!$C$53</f>
        <v>22044.75</v>
      </c>
      <c r="AM46" s="55">
        <f>AM3*Datengrundlage!$C$53</f>
        <v>22624.875</v>
      </c>
      <c r="AN46" s="55">
        <f>AN3*Datengrundlage!$C$53</f>
        <v>23205</v>
      </c>
      <c r="AO46" s="55">
        <f>AO3*Datengrundlage!$C$53</f>
        <v>23785.125</v>
      </c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</row>
    <row r="47" ht="15.75" customHeight="1">
      <c r="A47" s="54" t="s">
        <v>188</v>
      </c>
      <c r="B47" s="55">
        <f>B3*Datengrundlage!$C$54</f>
        <v>217</v>
      </c>
      <c r="C47" s="55">
        <f>C3*Datengrundlage!$C$54</f>
        <v>325.5</v>
      </c>
      <c r="D47" s="55">
        <f>D3*Datengrundlage!$C$54</f>
        <v>434</v>
      </c>
      <c r="E47" s="55">
        <f>E3*Datengrundlage!$C$54</f>
        <v>542.5</v>
      </c>
      <c r="F47" s="55">
        <f>F3*Datengrundlage!$C$54</f>
        <v>651</v>
      </c>
      <c r="G47" s="55">
        <f>G3*Datengrundlage!$C$54</f>
        <v>759.5</v>
      </c>
      <c r="H47" s="55">
        <f>H3*Datengrundlage!$C$54</f>
        <v>868</v>
      </c>
      <c r="I47" s="55">
        <f>I3*Datengrundlage!$C$54</f>
        <v>976.5</v>
      </c>
      <c r="J47" s="55">
        <f>J3*Datengrundlage!$C$54</f>
        <v>1085</v>
      </c>
      <c r="K47" s="56">
        <f>K3*Datengrundlage!$C$54</f>
        <v>1193.5</v>
      </c>
      <c r="L47" s="55">
        <f>L3*Datengrundlage!$C$54</f>
        <v>1302</v>
      </c>
      <c r="M47" s="55">
        <f>M3*Datengrundlage!$C$54</f>
        <v>1410.5</v>
      </c>
      <c r="N47" s="55">
        <f>N3*Datengrundlage!$C$54</f>
        <v>1519</v>
      </c>
      <c r="O47" s="55">
        <f>O3*Datengrundlage!$C$54</f>
        <v>1627.5</v>
      </c>
      <c r="P47" s="55">
        <f>P3*Datengrundlage!$C$54</f>
        <v>1736</v>
      </c>
      <c r="Q47" s="55">
        <f>Q3*Datengrundlage!$C$54</f>
        <v>1844.5</v>
      </c>
      <c r="R47" s="55">
        <f>R3*Datengrundlage!$C$54</f>
        <v>1953</v>
      </c>
      <c r="S47" s="55">
        <f>S3*Datengrundlage!$C$54</f>
        <v>2061.5</v>
      </c>
      <c r="T47" s="55">
        <f>T3*Datengrundlage!$C$54</f>
        <v>2170</v>
      </c>
      <c r="U47" s="55">
        <f>U3*Datengrundlage!$C$54</f>
        <v>2278.5</v>
      </c>
      <c r="V47" s="55">
        <f>V3*Datengrundlage!$C$54</f>
        <v>2387</v>
      </c>
      <c r="W47" s="55">
        <f>W3*Datengrundlage!$C$54</f>
        <v>2495.5</v>
      </c>
      <c r="X47" s="55">
        <f>X3*Datengrundlage!$C$54</f>
        <v>2604</v>
      </c>
      <c r="Y47" s="55">
        <f>Y3*Datengrundlage!$C$54</f>
        <v>2712.5</v>
      </c>
      <c r="Z47" s="55">
        <f>Z3*Datengrundlage!$C$54</f>
        <v>2821</v>
      </c>
      <c r="AA47" s="55">
        <f>AA3*Datengrundlage!$C$54</f>
        <v>2929.5</v>
      </c>
      <c r="AB47" s="55">
        <f>AB3*Datengrundlage!$C$54</f>
        <v>3038</v>
      </c>
      <c r="AC47" s="55">
        <f>AC3*Datengrundlage!$C$54</f>
        <v>3146.5</v>
      </c>
      <c r="AD47" s="55">
        <f>AD3*Datengrundlage!$C$54</f>
        <v>3255</v>
      </c>
      <c r="AE47" s="55">
        <f>AE3*Datengrundlage!$C$54</f>
        <v>3363.5</v>
      </c>
      <c r="AF47" s="55">
        <f>AF3*Datengrundlage!$C$54</f>
        <v>3472</v>
      </c>
      <c r="AG47" s="55">
        <f>AG3*Datengrundlage!$C$54</f>
        <v>3580.5</v>
      </c>
      <c r="AH47" s="55">
        <f>AH3*Datengrundlage!$C$54</f>
        <v>3689</v>
      </c>
      <c r="AI47" s="55">
        <f>AI3*Datengrundlage!$C$54</f>
        <v>3797.5</v>
      </c>
      <c r="AJ47" s="55">
        <f>AJ3*Datengrundlage!$C$54</f>
        <v>3906</v>
      </c>
      <c r="AK47" s="55">
        <f>AK3*Datengrundlage!$C$54</f>
        <v>4014.5</v>
      </c>
      <c r="AL47" s="55">
        <f>AL3*Datengrundlage!$C$54</f>
        <v>4123</v>
      </c>
      <c r="AM47" s="55">
        <f>AM3*Datengrundlage!$C$54</f>
        <v>4231.5</v>
      </c>
      <c r="AN47" s="55">
        <f>AN3*Datengrundlage!$C$54</f>
        <v>4340</v>
      </c>
      <c r="AO47" s="55">
        <f>AO3*Datengrundlage!$C$54</f>
        <v>4448.5</v>
      </c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</row>
    <row r="48" ht="15.75" customHeight="1">
      <c r="A48" s="54" t="s">
        <v>189</v>
      </c>
      <c r="B48" s="55">
        <f>B10*Datengrundlage!$C$55</f>
        <v>93.15</v>
      </c>
      <c r="C48" s="55">
        <f>C10*Datengrundlage!$C$55</f>
        <v>139.725</v>
      </c>
      <c r="D48" s="55">
        <f>D10*Datengrundlage!$C$55</f>
        <v>186.3</v>
      </c>
      <c r="E48" s="55">
        <f>E10*Datengrundlage!$C$55</f>
        <v>232.875</v>
      </c>
      <c r="F48" s="55">
        <f>F10*Datengrundlage!$C$55</f>
        <v>279.45</v>
      </c>
      <c r="G48" s="55">
        <f>G10*Datengrundlage!$C$55</f>
        <v>326.025</v>
      </c>
      <c r="H48" s="55">
        <f>H10*Datengrundlage!$C$55</f>
        <v>372.6</v>
      </c>
      <c r="I48" s="55">
        <f>I10*Datengrundlage!$C$55</f>
        <v>419.175</v>
      </c>
      <c r="J48" s="55">
        <f>J10*Datengrundlage!$C$55</f>
        <v>465.75</v>
      </c>
      <c r="K48" s="56">
        <f>K10*Datengrundlage!$C$55</f>
        <v>512.325</v>
      </c>
      <c r="L48" s="55">
        <f>L10*Datengrundlage!$C$55</f>
        <v>558.9</v>
      </c>
      <c r="M48" s="55">
        <f>M10*Datengrundlage!$C$55</f>
        <v>605.475</v>
      </c>
      <c r="N48" s="55">
        <f>N10*Datengrundlage!$C$55</f>
        <v>652.05</v>
      </c>
      <c r="O48" s="55">
        <f>O10*Datengrundlage!$C$55</f>
        <v>698.625</v>
      </c>
      <c r="P48" s="55">
        <f>P10*Datengrundlage!$C$55</f>
        <v>745.2</v>
      </c>
      <c r="Q48" s="55">
        <f>Q10*Datengrundlage!$C$55</f>
        <v>791.775</v>
      </c>
      <c r="R48" s="55">
        <f>R10*Datengrundlage!$C$55</f>
        <v>838.35</v>
      </c>
      <c r="S48" s="55">
        <f>S10*Datengrundlage!$C$55</f>
        <v>884.925</v>
      </c>
      <c r="T48" s="55">
        <f>T10*Datengrundlage!$C$55</f>
        <v>931.5</v>
      </c>
      <c r="U48" s="55">
        <f>U10*Datengrundlage!$C$55</f>
        <v>978.075</v>
      </c>
      <c r="V48" s="55">
        <f>V10*Datengrundlage!$C$55</f>
        <v>1024.65</v>
      </c>
      <c r="W48" s="55">
        <f>W10*Datengrundlage!$C$55</f>
        <v>1071.225</v>
      </c>
      <c r="X48" s="55">
        <f>X10*Datengrundlage!$C$55</f>
        <v>1117.8</v>
      </c>
      <c r="Y48" s="55">
        <f>Y10*Datengrundlage!$C$55</f>
        <v>1164.375</v>
      </c>
      <c r="Z48" s="55">
        <f>Z10*Datengrundlage!$C$55</f>
        <v>1210.95</v>
      </c>
      <c r="AA48" s="55">
        <f>AA10*Datengrundlage!$C$55</f>
        <v>1257.525</v>
      </c>
      <c r="AB48" s="55">
        <f>AB10*Datengrundlage!$C$55</f>
        <v>1304.1</v>
      </c>
      <c r="AC48" s="55">
        <f>AC10*Datengrundlage!$C$55</f>
        <v>1350.675</v>
      </c>
      <c r="AD48" s="55">
        <f>AD10*Datengrundlage!$C$55</f>
        <v>1397.25</v>
      </c>
      <c r="AE48" s="55">
        <f>AE10*Datengrundlage!$C$55</f>
        <v>1443.825</v>
      </c>
      <c r="AF48" s="55">
        <f>AF10*Datengrundlage!$C$55</f>
        <v>1490.4</v>
      </c>
      <c r="AG48" s="55">
        <f>AG10*Datengrundlage!$C$55</f>
        <v>1536.975</v>
      </c>
      <c r="AH48" s="55">
        <f>AH10*Datengrundlage!$C$55</f>
        <v>1583.55</v>
      </c>
      <c r="AI48" s="55">
        <f>AI10*Datengrundlage!$C$55</f>
        <v>1630.125</v>
      </c>
      <c r="AJ48" s="55">
        <f>AJ10*Datengrundlage!$C$55</f>
        <v>1676.7</v>
      </c>
      <c r="AK48" s="55">
        <f>AK10*Datengrundlage!$C$55</f>
        <v>1723.275</v>
      </c>
      <c r="AL48" s="55">
        <f>AL10*Datengrundlage!$C$55</f>
        <v>1769.85</v>
      </c>
      <c r="AM48" s="55">
        <f>AM10*Datengrundlage!$C$55</f>
        <v>1816.425</v>
      </c>
      <c r="AN48" s="55">
        <f>AN10*Datengrundlage!$C$55</f>
        <v>1863</v>
      </c>
      <c r="AO48" s="55">
        <f>AO10*Datengrundlage!$C$55</f>
        <v>1909.575</v>
      </c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</row>
    <row r="49" ht="15.75" customHeight="1">
      <c r="A49" s="54" t="s">
        <v>190</v>
      </c>
      <c r="B49" s="55">
        <f>B10*Datengrundlage!$C$56</f>
        <v>176.985</v>
      </c>
      <c r="C49" s="55">
        <f>C10*Datengrundlage!$C$56</f>
        <v>265.4775</v>
      </c>
      <c r="D49" s="55">
        <f>D10*Datengrundlage!$C$56</f>
        <v>353.97</v>
      </c>
      <c r="E49" s="55">
        <f>E10*Datengrundlage!$C$56</f>
        <v>442.4625</v>
      </c>
      <c r="F49" s="55">
        <f>F10*Datengrundlage!$C$56</f>
        <v>530.955</v>
      </c>
      <c r="G49" s="55">
        <f>G10*Datengrundlage!$C$56</f>
        <v>619.4475</v>
      </c>
      <c r="H49" s="55">
        <f>H10*Datengrundlage!$C$56</f>
        <v>707.94</v>
      </c>
      <c r="I49" s="55">
        <f>I10*Datengrundlage!$C$56</f>
        <v>796.4325</v>
      </c>
      <c r="J49" s="55">
        <f>J10*Datengrundlage!$C$56</f>
        <v>884.925</v>
      </c>
      <c r="K49" s="56">
        <f>K10*Datengrundlage!$C$56</f>
        <v>973.4175</v>
      </c>
      <c r="L49" s="55">
        <f>L10*Datengrundlage!$C$56</f>
        <v>1061.91</v>
      </c>
      <c r="M49" s="55">
        <f>M10*Datengrundlage!$C$56</f>
        <v>1150.4025</v>
      </c>
      <c r="N49" s="55">
        <f>N10*Datengrundlage!$C$56</f>
        <v>1238.895</v>
      </c>
      <c r="O49" s="55">
        <f>O10*Datengrundlage!$C$56</f>
        <v>1327.3875</v>
      </c>
      <c r="P49" s="55">
        <f>P10*Datengrundlage!$C$56</f>
        <v>1415.88</v>
      </c>
      <c r="Q49" s="55">
        <f>Q10*Datengrundlage!$C$56</f>
        <v>1504.3725</v>
      </c>
      <c r="R49" s="55">
        <f>R10*Datengrundlage!$C$56</f>
        <v>1592.865</v>
      </c>
      <c r="S49" s="55">
        <f>S10*Datengrundlage!$C$56</f>
        <v>1681.3575</v>
      </c>
      <c r="T49" s="55">
        <f>T10*Datengrundlage!$C$56</f>
        <v>1769.85</v>
      </c>
      <c r="U49" s="55">
        <f>U10*Datengrundlage!$C$56</f>
        <v>1858.3425</v>
      </c>
      <c r="V49" s="55">
        <f>V10*Datengrundlage!$C$56</f>
        <v>1946.835</v>
      </c>
      <c r="W49" s="55">
        <f>W10*Datengrundlage!$C$56</f>
        <v>2035.3275</v>
      </c>
      <c r="X49" s="55">
        <f>X10*Datengrundlage!$C$56</f>
        <v>2123.82</v>
      </c>
      <c r="Y49" s="55">
        <f>Y10*Datengrundlage!$C$56</f>
        <v>2212.3125</v>
      </c>
      <c r="Z49" s="55">
        <f>Z10*Datengrundlage!$C$56</f>
        <v>2300.805</v>
      </c>
      <c r="AA49" s="55">
        <f>AA10*Datengrundlage!$C$56</f>
        <v>2389.2975</v>
      </c>
      <c r="AB49" s="55">
        <f>AB10*Datengrundlage!$C$56</f>
        <v>2477.79</v>
      </c>
      <c r="AC49" s="55">
        <f>AC10*Datengrundlage!$C$56</f>
        <v>2566.2825</v>
      </c>
      <c r="AD49" s="55">
        <f>AD10*Datengrundlage!$C$56</f>
        <v>2654.775</v>
      </c>
      <c r="AE49" s="55">
        <f>AE10*Datengrundlage!$C$56</f>
        <v>2743.2675</v>
      </c>
      <c r="AF49" s="55">
        <f>AF10*Datengrundlage!$C$56</f>
        <v>2831.76</v>
      </c>
      <c r="AG49" s="55">
        <f>AG10*Datengrundlage!$C$56</f>
        <v>2920.2525</v>
      </c>
      <c r="AH49" s="55">
        <f>AH10*Datengrundlage!$C$56</f>
        <v>3008.745</v>
      </c>
      <c r="AI49" s="55">
        <f>AI10*Datengrundlage!$C$56</f>
        <v>3097.2375</v>
      </c>
      <c r="AJ49" s="55">
        <f>AJ10*Datengrundlage!$C$56</f>
        <v>3185.73</v>
      </c>
      <c r="AK49" s="55">
        <f>AK10*Datengrundlage!$C$56</f>
        <v>3274.2225</v>
      </c>
      <c r="AL49" s="55">
        <f>AL10*Datengrundlage!$C$56</f>
        <v>3362.715</v>
      </c>
      <c r="AM49" s="55">
        <f>AM10*Datengrundlage!$C$56</f>
        <v>3451.2075</v>
      </c>
      <c r="AN49" s="55">
        <f>AN10*Datengrundlage!$C$56</f>
        <v>3539.7</v>
      </c>
      <c r="AO49" s="55">
        <f>AO10*Datengrundlage!$C$56</f>
        <v>3628.1925</v>
      </c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</row>
    <row r="50" ht="15.75" customHeight="1">
      <c r="A50" s="54" t="s">
        <v>191</v>
      </c>
      <c r="B50" s="55">
        <f>Datengrundlage!$C$57*B3/25</f>
        <v>300</v>
      </c>
      <c r="C50" s="55">
        <f>Datengrundlage!$C$57*C3/25</f>
        <v>450</v>
      </c>
      <c r="D50" s="55">
        <f>Datengrundlage!$C$57*D3/25</f>
        <v>600</v>
      </c>
      <c r="E50" s="55">
        <f>Datengrundlage!$C$57*E3/25</f>
        <v>750</v>
      </c>
      <c r="F50" s="55">
        <f>Datengrundlage!$C$57*F3/25</f>
        <v>900</v>
      </c>
      <c r="G50" s="55">
        <f>Datengrundlage!$C$57*G3/25</f>
        <v>1050</v>
      </c>
      <c r="H50" s="55">
        <f>Datengrundlage!$C$57*H3/25</f>
        <v>1200</v>
      </c>
      <c r="I50" s="55">
        <f>Datengrundlage!$C$57*I3/25</f>
        <v>1350</v>
      </c>
      <c r="J50" s="55">
        <f>Datengrundlage!$C$57*J3/25</f>
        <v>1500</v>
      </c>
      <c r="K50" s="56">
        <f>Datengrundlage!$C$57*K3/25</f>
        <v>1650</v>
      </c>
      <c r="L50" s="55">
        <f>Datengrundlage!$C$57*L3/25</f>
        <v>1800</v>
      </c>
      <c r="M50" s="55">
        <f>Datengrundlage!$C$57*M3/25</f>
        <v>1950</v>
      </c>
      <c r="N50" s="55">
        <f>Datengrundlage!$C$57*N3/25</f>
        <v>2100</v>
      </c>
      <c r="O50" s="55">
        <f>Datengrundlage!$C$57*O3/25</f>
        <v>2250</v>
      </c>
      <c r="P50" s="55">
        <f>Datengrundlage!$C$57*P3/25</f>
        <v>2400</v>
      </c>
      <c r="Q50" s="55">
        <f>Datengrundlage!$C$57*Q3/25</f>
        <v>2550</v>
      </c>
      <c r="R50" s="55">
        <f>Datengrundlage!$C$57*R3/25</f>
        <v>2700</v>
      </c>
      <c r="S50" s="55">
        <f>Datengrundlage!$C$57*S3/25</f>
        <v>2850</v>
      </c>
      <c r="T50" s="55">
        <f>Datengrundlage!$C$57*T3/25</f>
        <v>3000</v>
      </c>
      <c r="U50" s="55">
        <f>Datengrundlage!$C$57*U3/25</f>
        <v>3150</v>
      </c>
      <c r="V50" s="55">
        <f>Datengrundlage!$C$57*V3/25</f>
        <v>3300</v>
      </c>
      <c r="W50" s="55">
        <f>Datengrundlage!$C$57*W3/25</f>
        <v>3450</v>
      </c>
      <c r="X50" s="55">
        <f>Datengrundlage!$C$57*X3/25</f>
        <v>3600</v>
      </c>
      <c r="Y50" s="55">
        <f>Datengrundlage!$C$57*Y3/25</f>
        <v>3750</v>
      </c>
      <c r="Z50" s="55">
        <f>Datengrundlage!$C$57*Z3/25</f>
        <v>3900</v>
      </c>
      <c r="AA50" s="55">
        <f>Datengrundlage!$C$57*AA3/25</f>
        <v>4050</v>
      </c>
      <c r="AB50" s="55">
        <f>Datengrundlage!$C$57*AB3/25</f>
        <v>4200</v>
      </c>
      <c r="AC50" s="55">
        <f>Datengrundlage!$C$57*AC3/25</f>
        <v>4350</v>
      </c>
      <c r="AD50" s="55">
        <f>Datengrundlage!$C$57*AD3/25</f>
        <v>4500</v>
      </c>
      <c r="AE50" s="55">
        <f>Datengrundlage!$C$57*AE3/25</f>
        <v>4650</v>
      </c>
      <c r="AF50" s="55">
        <f>Datengrundlage!$C$57*AF3/25</f>
        <v>4800</v>
      </c>
      <c r="AG50" s="55">
        <f>Datengrundlage!$C$57*AG3/25</f>
        <v>4950</v>
      </c>
      <c r="AH50" s="55">
        <f>Datengrundlage!$C$57*AH3/25</f>
        <v>5100</v>
      </c>
      <c r="AI50" s="55">
        <f>Datengrundlage!$C$57*AI3/25</f>
        <v>5250</v>
      </c>
      <c r="AJ50" s="55">
        <f>Datengrundlage!$C$57*AJ3/25</f>
        <v>5400</v>
      </c>
      <c r="AK50" s="55">
        <f>Datengrundlage!$C$57*AK3/25</f>
        <v>5550</v>
      </c>
      <c r="AL50" s="55">
        <f>Datengrundlage!$C$57*AL3/25</f>
        <v>5700</v>
      </c>
      <c r="AM50" s="55">
        <f>Datengrundlage!$C$57*AM3/25</f>
        <v>5850</v>
      </c>
      <c r="AN50" s="55">
        <f>Datengrundlage!$C$57*AN3/25</f>
        <v>6000</v>
      </c>
      <c r="AO50" s="55">
        <f>Datengrundlage!$C$57*AO3/25</f>
        <v>6150</v>
      </c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</row>
    <row r="51" ht="15.75" customHeight="1">
      <c r="A51" s="54" t="s">
        <v>192</v>
      </c>
      <c r="B51" s="55">
        <v>9600.0</v>
      </c>
      <c r="C51" s="55">
        <v>14400.0</v>
      </c>
      <c r="D51" s="55">
        <v>19200.0</v>
      </c>
      <c r="E51" s="55">
        <v>24000.0</v>
      </c>
      <c r="F51" s="55">
        <v>28800.0</v>
      </c>
      <c r="G51" s="55">
        <v>33600.0</v>
      </c>
      <c r="H51" s="55">
        <v>38400.0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</row>
    <row r="52" ht="15.75" customHeight="1">
      <c r="A52" s="54" t="s">
        <v>193</v>
      </c>
      <c r="B52" s="55">
        <f t="shared" ref="B52:AO52" si="10">SUM(B53:B56)</f>
        <v>1960</v>
      </c>
      <c r="C52" s="55">
        <f t="shared" si="10"/>
        <v>1960</v>
      </c>
      <c r="D52" s="55">
        <f t="shared" si="10"/>
        <v>1960</v>
      </c>
      <c r="E52" s="55">
        <f t="shared" si="10"/>
        <v>1960</v>
      </c>
      <c r="F52" s="55">
        <f t="shared" si="10"/>
        <v>1960</v>
      </c>
      <c r="G52" s="55">
        <f t="shared" si="10"/>
        <v>1960</v>
      </c>
      <c r="H52" s="55">
        <f t="shared" si="10"/>
        <v>1960</v>
      </c>
      <c r="I52" s="55">
        <f t="shared" si="10"/>
        <v>1960</v>
      </c>
      <c r="J52" s="55">
        <f t="shared" si="10"/>
        <v>1960</v>
      </c>
      <c r="K52" s="56">
        <f t="shared" si="10"/>
        <v>1960</v>
      </c>
      <c r="L52" s="55">
        <f t="shared" si="10"/>
        <v>1960</v>
      </c>
      <c r="M52" s="55">
        <f t="shared" si="10"/>
        <v>1960</v>
      </c>
      <c r="N52" s="55">
        <f t="shared" si="10"/>
        <v>1960</v>
      </c>
      <c r="O52" s="55">
        <f t="shared" si="10"/>
        <v>1960</v>
      </c>
      <c r="P52" s="55">
        <f t="shared" si="10"/>
        <v>1960</v>
      </c>
      <c r="Q52" s="55">
        <f t="shared" si="10"/>
        <v>1960</v>
      </c>
      <c r="R52" s="55">
        <f t="shared" si="10"/>
        <v>1960</v>
      </c>
      <c r="S52" s="55">
        <f t="shared" si="10"/>
        <v>1960</v>
      </c>
      <c r="T52" s="55">
        <f t="shared" si="10"/>
        <v>1960</v>
      </c>
      <c r="U52" s="55">
        <f t="shared" si="10"/>
        <v>1960</v>
      </c>
      <c r="V52" s="55">
        <f t="shared" si="10"/>
        <v>1960</v>
      </c>
      <c r="W52" s="55">
        <f t="shared" si="10"/>
        <v>1960</v>
      </c>
      <c r="X52" s="55">
        <f t="shared" si="10"/>
        <v>1960</v>
      </c>
      <c r="Y52" s="55">
        <f t="shared" si="10"/>
        <v>1960</v>
      </c>
      <c r="Z52" s="55">
        <f t="shared" si="10"/>
        <v>1960</v>
      </c>
      <c r="AA52" s="55">
        <f t="shared" si="10"/>
        <v>1960</v>
      </c>
      <c r="AB52" s="55">
        <f t="shared" si="10"/>
        <v>1960</v>
      </c>
      <c r="AC52" s="55">
        <f t="shared" si="10"/>
        <v>1960</v>
      </c>
      <c r="AD52" s="55">
        <f t="shared" si="10"/>
        <v>1960</v>
      </c>
      <c r="AE52" s="55">
        <f t="shared" si="10"/>
        <v>1960</v>
      </c>
      <c r="AF52" s="55">
        <f t="shared" si="10"/>
        <v>1960</v>
      </c>
      <c r="AG52" s="55">
        <f t="shared" si="10"/>
        <v>1960</v>
      </c>
      <c r="AH52" s="55">
        <f t="shared" si="10"/>
        <v>1960</v>
      </c>
      <c r="AI52" s="55">
        <f t="shared" si="10"/>
        <v>1960</v>
      </c>
      <c r="AJ52" s="55">
        <f t="shared" si="10"/>
        <v>1960</v>
      </c>
      <c r="AK52" s="55">
        <f t="shared" si="10"/>
        <v>1960</v>
      </c>
      <c r="AL52" s="55">
        <f t="shared" si="10"/>
        <v>1960</v>
      </c>
      <c r="AM52" s="55">
        <f t="shared" si="10"/>
        <v>1960</v>
      </c>
      <c r="AN52" s="55">
        <f t="shared" si="10"/>
        <v>1960</v>
      </c>
      <c r="AO52" s="55">
        <f t="shared" si="10"/>
        <v>1960</v>
      </c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</row>
    <row r="53" ht="15.75" customHeight="1">
      <c r="A53" s="1" t="s">
        <v>194</v>
      </c>
      <c r="B53" s="55">
        <f>B6*Datengrundlage!$C$60</f>
        <v>525</v>
      </c>
      <c r="C53" s="55">
        <f>C6*Datengrundlage!$C$60</f>
        <v>525</v>
      </c>
      <c r="D53" s="55">
        <f>D6*Datengrundlage!$C$60</f>
        <v>525</v>
      </c>
      <c r="E53" s="55">
        <f>E6*Datengrundlage!$C$60</f>
        <v>525</v>
      </c>
      <c r="F53" s="55">
        <f>F6*Datengrundlage!$C$60</f>
        <v>525</v>
      </c>
      <c r="G53" s="55">
        <f>G6*Datengrundlage!$C$60</f>
        <v>525</v>
      </c>
      <c r="H53" s="55">
        <f>H6*Datengrundlage!$C$60</f>
        <v>525</v>
      </c>
      <c r="I53" s="55">
        <f>I6*Datengrundlage!$C$60</f>
        <v>525</v>
      </c>
      <c r="J53" s="55">
        <f>J6*Datengrundlage!$C$60</f>
        <v>525</v>
      </c>
      <c r="K53" s="56">
        <f>K6*Datengrundlage!$C$60</f>
        <v>525</v>
      </c>
      <c r="L53" s="55">
        <f>L6*Datengrundlage!$C$60</f>
        <v>525</v>
      </c>
      <c r="M53" s="55">
        <f>M6*Datengrundlage!$C$60</f>
        <v>525</v>
      </c>
      <c r="N53" s="55">
        <f>N6*Datengrundlage!$C$60</f>
        <v>525</v>
      </c>
      <c r="O53" s="55">
        <f>O6*Datengrundlage!$C$60</f>
        <v>525</v>
      </c>
      <c r="P53" s="55">
        <f>P6*Datengrundlage!$C$60</f>
        <v>525</v>
      </c>
      <c r="Q53" s="55">
        <f>Q6*Datengrundlage!$C$60</f>
        <v>525</v>
      </c>
      <c r="R53" s="55">
        <f>R6*Datengrundlage!$C$60</f>
        <v>525</v>
      </c>
      <c r="S53" s="55">
        <f>S6*Datengrundlage!$C$60</f>
        <v>525</v>
      </c>
      <c r="T53" s="55">
        <f>T6*Datengrundlage!$C$60</f>
        <v>525</v>
      </c>
      <c r="U53" s="55">
        <f>U6*Datengrundlage!$C$60</f>
        <v>525</v>
      </c>
      <c r="V53" s="55">
        <f>V6*Datengrundlage!$C$60</f>
        <v>525</v>
      </c>
      <c r="W53" s="55">
        <f>W6*Datengrundlage!$C$60</f>
        <v>525</v>
      </c>
      <c r="X53" s="55">
        <f>X6*Datengrundlage!$C$60</f>
        <v>525</v>
      </c>
      <c r="Y53" s="55">
        <f>Y6*Datengrundlage!$C$60</f>
        <v>525</v>
      </c>
      <c r="Z53" s="55">
        <f>Z6*Datengrundlage!$C$60</f>
        <v>525</v>
      </c>
      <c r="AA53" s="55">
        <f>AA6*Datengrundlage!$C$60</f>
        <v>525</v>
      </c>
      <c r="AB53" s="55">
        <f>AB6*Datengrundlage!$C$60</f>
        <v>525</v>
      </c>
      <c r="AC53" s="55">
        <f>AC6*Datengrundlage!$C$60</f>
        <v>525</v>
      </c>
      <c r="AD53" s="55">
        <f>AD6*Datengrundlage!$C$60</f>
        <v>525</v>
      </c>
      <c r="AE53" s="55">
        <f>AE6*Datengrundlage!$C$60</f>
        <v>525</v>
      </c>
      <c r="AF53" s="55">
        <f>AF6*Datengrundlage!$C$60</f>
        <v>525</v>
      </c>
      <c r="AG53" s="55">
        <f>AG6*Datengrundlage!$C$60</f>
        <v>525</v>
      </c>
      <c r="AH53" s="55">
        <f>AH6*Datengrundlage!$C$60</f>
        <v>525</v>
      </c>
      <c r="AI53" s="55">
        <f>AI6*Datengrundlage!$C$60</f>
        <v>525</v>
      </c>
      <c r="AJ53" s="55">
        <f>AJ6*Datengrundlage!$C$60</f>
        <v>525</v>
      </c>
      <c r="AK53" s="55">
        <f>AK6*Datengrundlage!$C$60</f>
        <v>525</v>
      </c>
      <c r="AL53" s="55">
        <f>AL6*Datengrundlage!$C$60</f>
        <v>525</v>
      </c>
      <c r="AM53" s="55">
        <f>AM6*Datengrundlage!$C$60</f>
        <v>525</v>
      </c>
      <c r="AN53" s="55">
        <f>AN6*Datengrundlage!$C$60</f>
        <v>525</v>
      </c>
      <c r="AO53" s="55">
        <f>AO6*Datengrundlage!$C$60</f>
        <v>525</v>
      </c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</row>
    <row r="54" ht="15.75" customHeight="1">
      <c r="A54" s="1" t="s">
        <v>195</v>
      </c>
      <c r="B54" s="55">
        <f>B6*Datengrundlage!$C$61</f>
        <v>647.5</v>
      </c>
      <c r="C54" s="55">
        <f>C6*Datengrundlage!$C$61</f>
        <v>647.5</v>
      </c>
      <c r="D54" s="55">
        <f>D6*Datengrundlage!$C$61</f>
        <v>647.5</v>
      </c>
      <c r="E54" s="55">
        <f>E6*Datengrundlage!$C$61</f>
        <v>647.5</v>
      </c>
      <c r="F54" s="55">
        <f>F6*Datengrundlage!$C$61</f>
        <v>647.5</v>
      </c>
      <c r="G54" s="55">
        <f>G6*Datengrundlage!$C$61</f>
        <v>647.5</v>
      </c>
      <c r="H54" s="55">
        <f>H6*Datengrundlage!$C$61</f>
        <v>647.5</v>
      </c>
      <c r="I54" s="55">
        <f>I6*Datengrundlage!$C$61</f>
        <v>647.5</v>
      </c>
      <c r="J54" s="55">
        <f>J6*Datengrundlage!$C$61</f>
        <v>647.5</v>
      </c>
      <c r="K54" s="56">
        <f>K6*Datengrundlage!$C$61</f>
        <v>647.5</v>
      </c>
      <c r="L54" s="55">
        <f>L6*Datengrundlage!$C$61</f>
        <v>647.5</v>
      </c>
      <c r="M54" s="55">
        <f>M6*Datengrundlage!$C$61</f>
        <v>647.5</v>
      </c>
      <c r="N54" s="55">
        <f>N6*Datengrundlage!$C$61</f>
        <v>647.5</v>
      </c>
      <c r="O54" s="55">
        <f>O6*Datengrundlage!$C$61</f>
        <v>647.5</v>
      </c>
      <c r="P54" s="55">
        <f>P6*Datengrundlage!$C$61</f>
        <v>647.5</v>
      </c>
      <c r="Q54" s="55">
        <f>Q6*Datengrundlage!$C$61</f>
        <v>647.5</v>
      </c>
      <c r="R54" s="55">
        <f>R6*Datengrundlage!$C$61</f>
        <v>647.5</v>
      </c>
      <c r="S54" s="55">
        <f>S6*Datengrundlage!$C$61</f>
        <v>647.5</v>
      </c>
      <c r="T54" s="55">
        <f>T6*Datengrundlage!$C$61</f>
        <v>647.5</v>
      </c>
      <c r="U54" s="55">
        <f>U6*Datengrundlage!$C$61</f>
        <v>647.5</v>
      </c>
      <c r="V54" s="55">
        <f>V6*Datengrundlage!$C$61</f>
        <v>647.5</v>
      </c>
      <c r="W54" s="55">
        <f>W6*Datengrundlage!$C$61</f>
        <v>647.5</v>
      </c>
      <c r="X54" s="55">
        <f>X6*Datengrundlage!$C$61</f>
        <v>647.5</v>
      </c>
      <c r="Y54" s="55">
        <f>Y6*Datengrundlage!$C$61</f>
        <v>647.5</v>
      </c>
      <c r="Z54" s="55">
        <f>Z6*Datengrundlage!$C$61</f>
        <v>647.5</v>
      </c>
      <c r="AA54" s="55">
        <f>AA6*Datengrundlage!$C$61</f>
        <v>647.5</v>
      </c>
      <c r="AB54" s="55">
        <f>AB6*Datengrundlage!$C$61</f>
        <v>647.5</v>
      </c>
      <c r="AC54" s="55">
        <f>AC6*Datengrundlage!$C$61</f>
        <v>647.5</v>
      </c>
      <c r="AD54" s="55">
        <f>AD6*Datengrundlage!$C$61</f>
        <v>647.5</v>
      </c>
      <c r="AE54" s="55">
        <f>AE6*Datengrundlage!$C$61</f>
        <v>647.5</v>
      </c>
      <c r="AF54" s="55">
        <f>AF6*Datengrundlage!$C$61</f>
        <v>647.5</v>
      </c>
      <c r="AG54" s="55">
        <f>AG6*Datengrundlage!$C$61</f>
        <v>647.5</v>
      </c>
      <c r="AH54" s="55">
        <f>AH6*Datengrundlage!$C$61</f>
        <v>647.5</v>
      </c>
      <c r="AI54" s="55">
        <f>AI6*Datengrundlage!$C$61</f>
        <v>647.5</v>
      </c>
      <c r="AJ54" s="55">
        <f>AJ6*Datengrundlage!$C$61</f>
        <v>647.5</v>
      </c>
      <c r="AK54" s="55">
        <f>AK6*Datengrundlage!$C$61</f>
        <v>647.5</v>
      </c>
      <c r="AL54" s="55">
        <f>AL6*Datengrundlage!$C$61</f>
        <v>647.5</v>
      </c>
      <c r="AM54" s="55">
        <f>AM6*Datengrundlage!$C$61</f>
        <v>647.5</v>
      </c>
      <c r="AN54" s="55">
        <f>AN6*Datengrundlage!$C$61</f>
        <v>647.5</v>
      </c>
      <c r="AO54" s="55">
        <f>AO6*Datengrundlage!$C$61</f>
        <v>647.5</v>
      </c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</row>
    <row r="55" ht="15.75" customHeight="1">
      <c r="A55" s="1" t="s">
        <v>196</v>
      </c>
      <c r="B55" s="55">
        <f>B6*Datengrundlage!$C$62</f>
        <v>525</v>
      </c>
      <c r="C55" s="55">
        <f>C6*Datengrundlage!$C$62</f>
        <v>525</v>
      </c>
      <c r="D55" s="55">
        <f>D6*Datengrundlage!$C$62</f>
        <v>525</v>
      </c>
      <c r="E55" s="55">
        <f>E6*Datengrundlage!$C$62</f>
        <v>525</v>
      </c>
      <c r="F55" s="55">
        <f>F6*Datengrundlage!$C$62</f>
        <v>525</v>
      </c>
      <c r="G55" s="55">
        <f>G6*Datengrundlage!$C$62</f>
        <v>525</v>
      </c>
      <c r="H55" s="55">
        <f>H6*Datengrundlage!$C$62</f>
        <v>525</v>
      </c>
      <c r="I55" s="55">
        <f>I6*Datengrundlage!$C$62</f>
        <v>525</v>
      </c>
      <c r="J55" s="55">
        <f>J6*Datengrundlage!$C$62</f>
        <v>525</v>
      </c>
      <c r="K55" s="56">
        <f>K6*Datengrundlage!$C$62</f>
        <v>525</v>
      </c>
      <c r="L55" s="55">
        <f>L6*Datengrundlage!$C$62</f>
        <v>525</v>
      </c>
      <c r="M55" s="55">
        <f>M6*Datengrundlage!$C$62</f>
        <v>525</v>
      </c>
      <c r="N55" s="55">
        <f>N6*Datengrundlage!$C$62</f>
        <v>525</v>
      </c>
      <c r="O55" s="55">
        <f>O6*Datengrundlage!$C$62</f>
        <v>525</v>
      </c>
      <c r="P55" s="55">
        <f>P6*Datengrundlage!$C$62</f>
        <v>525</v>
      </c>
      <c r="Q55" s="55">
        <f>Q6*Datengrundlage!$C$62</f>
        <v>525</v>
      </c>
      <c r="R55" s="55">
        <f>R6*Datengrundlage!$C$62</f>
        <v>525</v>
      </c>
      <c r="S55" s="55">
        <f>S6*Datengrundlage!$C$62</f>
        <v>525</v>
      </c>
      <c r="T55" s="55">
        <f>T6*Datengrundlage!$C$62</f>
        <v>525</v>
      </c>
      <c r="U55" s="55">
        <f>U6*Datengrundlage!$C$62</f>
        <v>525</v>
      </c>
      <c r="V55" s="55">
        <f>V6*Datengrundlage!$C$62</f>
        <v>525</v>
      </c>
      <c r="W55" s="55">
        <f>W6*Datengrundlage!$C$62</f>
        <v>525</v>
      </c>
      <c r="X55" s="55">
        <f>X6*Datengrundlage!$C$62</f>
        <v>525</v>
      </c>
      <c r="Y55" s="55">
        <f>Y6*Datengrundlage!$C$62</f>
        <v>525</v>
      </c>
      <c r="Z55" s="55">
        <f>Z6*Datengrundlage!$C$62</f>
        <v>525</v>
      </c>
      <c r="AA55" s="55">
        <f>AA6*Datengrundlage!$C$62</f>
        <v>525</v>
      </c>
      <c r="AB55" s="55">
        <f>AB6*Datengrundlage!$C$62</f>
        <v>525</v>
      </c>
      <c r="AC55" s="55">
        <f>AC6*Datengrundlage!$C$62</f>
        <v>525</v>
      </c>
      <c r="AD55" s="55">
        <f>AD6*Datengrundlage!$C$62</f>
        <v>525</v>
      </c>
      <c r="AE55" s="55">
        <f>AE6*Datengrundlage!$C$62</f>
        <v>525</v>
      </c>
      <c r="AF55" s="55">
        <f>AF6*Datengrundlage!$C$62</f>
        <v>525</v>
      </c>
      <c r="AG55" s="55">
        <f>AG6*Datengrundlage!$C$62</f>
        <v>525</v>
      </c>
      <c r="AH55" s="55">
        <f>AH6*Datengrundlage!$C$62</f>
        <v>525</v>
      </c>
      <c r="AI55" s="55">
        <f>AI6*Datengrundlage!$C$62</f>
        <v>525</v>
      </c>
      <c r="AJ55" s="55">
        <f>AJ6*Datengrundlage!$C$62</f>
        <v>525</v>
      </c>
      <c r="AK55" s="55">
        <f>AK6*Datengrundlage!$C$62</f>
        <v>525</v>
      </c>
      <c r="AL55" s="55">
        <f>AL6*Datengrundlage!$C$62</f>
        <v>525</v>
      </c>
      <c r="AM55" s="55">
        <f>AM6*Datengrundlage!$C$62</f>
        <v>525</v>
      </c>
      <c r="AN55" s="55">
        <f>AN6*Datengrundlage!$C$62</f>
        <v>525</v>
      </c>
      <c r="AO55" s="55">
        <f>AO6*Datengrundlage!$C$62</f>
        <v>525</v>
      </c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</row>
    <row r="56" ht="15.75" customHeight="1">
      <c r="A56" s="1" t="s">
        <v>197</v>
      </c>
      <c r="B56" s="55">
        <f>B6*Datengrundlage!$C$63</f>
        <v>262.5</v>
      </c>
      <c r="C56" s="55">
        <f>C6*Datengrundlage!$C$63</f>
        <v>262.5</v>
      </c>
      <c r="D56" s="55">
        <f>D6*Datengrundlage!$C$63</f>
        <v>262.5</v>
      </c>
      <c r="E56" s="55">
        <f>E6*Datengrundlage!$C$63</f>
        <v>262.5</v>
      </c>
      <c r="F56" s="55">
        <f>F6*Datengrundlage!$C$63</f>
        <v>262.5</v>
      </c>
      <c r="G56" s="55">
        <f>G6*Datengrundlage!$C$63</f>
        <v>262.5</v>
      </c>
      <c r="H56" s="55">
        <f>H6*Datengrundlage!$C$63</f>
        <v>262.5</v>
      </c>
      <c r="I56" s="55">
        <f>I6*Datengrundlage!$C$63</f>
        <v>262.5</v>
      </c>
      <c r="J56" s="55">
        <f>J6*Datengrundlage!$C$63</f>
        <v>262.5</v>
      </c>
      <c r="K56" s="56">
        <f>K6*Datengrundlage!$C$63</f>
        <v>262.5</v>
      </c>
      <c r="L56" s="55">
        <f>L6*Datengrundlage!$C$63</f>
        <v>262.5</v>
      </c>
      <c r="M56" s="55">
        <f>M6*Datengrundlage!$C$63</f>
        <v>262.5</v>
      </c>
      <c r="N56" s="55">
        <f>N6*Datengrundlage!$C$63</f>
        <v>262.5</v>
      </c>
      <c r="O56" s="55">
        <f>O6*Datengrundlage!$C$63</f>
        <v>262.5</v>
      </c>
      <c r="P56" s="55">
        <f>P6*Datengrundlage!$C$63</f>
        <v>262.5</v>
      </c>
      <c r="Q56" s="55">
        <f>Q6*Datengrundlage!$C$63</f>
        <v>262.5</v>
      </c>
      <c r="R56" s="55">
        <f>R6*Datengrundlage!$C$63</f>
        <v>262.5</v>
      </c>
      <c r="S56" s="55">
        <f>S6*Datengrundlage!$C$63</f>
        <v>262.5</v>
      </c>
      <c r="T56" s="55">
        <f>T6*Datengrundlage!$C$63</f>
        <v>262.5</v>
      </c>
      <c r="U56" s="55">
        <f>U6*Datengrundlage!$C$63</f>
        <v>262.5</v>
      </c>
      <c r="V56" s="55">
        <f>V6*Datengrundlage!$C$63</f>
        <v>262.5</v>
      </c>
      <c r="W56" s="55">
        <f>W6*Datengrundlage!$C$63</f>
        <v>262.5</v>
      </c>
      <c r="X56" s="55">
        <f>X6*Datengrundlage!$C$63</f>
        <v>262.5</v>
      </c>
      <c r="Y56" s="55">
        <f>Y6*Datengrundlage!$C$63</f>
        <v>262.5</v>
      </c>
      <c r="Z56" s="55">
        <f>Z6*Datengrundlage!$C$63</f>
        <v>262.5</v>
      </c>
      <c r="AA56" s="55">
        <f>AA6*Datengrundlage!$C$63</f>
        <v>262.5</v>
      </c>
      <c r="AB56" s="55">
        <f>AB6*Datengrundlage!$C$63</f>
        <v>262.5</v>
      </c>
      <c r="AC56" s="55">
        <f>AC6*Datengrundlage!$C$63</f>
        <v>262.5</v>
      </c>
      <c r="AD56" s="55">
        <f>AD6*Datengrundlage!$C$63</f>
        <v>262.5</v>
      </c>
      <c r="AE56" s="55">
        <f>AE6*Datengrundlage!$C$63</f>
        <v>262.5</v>
      </c>
      <c r="AF56" s="55">
        <f>AF6*Datengrundlage!$C$63</f>
        <v>262.5</v>
      </c>
      <c r="AG56" s="55">
        <f>AG6*Datengrundlage!$C$63</f>
        <v>262.5</v>
      </c>
      <c r="AH56" s="55">
        <f>AH6*Datengrundlage!$C$63</f>
        <v>262.5</v>
      </c>
      <c r="AI56" s="55">
        <f>AI6*Datengrundlage!$C$63</f>
        <v>262.5</v>
      </c>
      <c r="AJ56" s="55">
        <f>AJ6*Datengrundlage!$C$63</f>
        <v>262.5</v>
      </c>
      <c r="AK56" s="55">
        <f>AK6*Datengrundlage!$C$63</f>
        <v>262.5</v>
      </c>
      <c r="AL56" s="55">
        <f>AL6*Datengrundlage!$C$63</f>
        <v>262.5</v>
      </c>
      <c r="AM56" s="55">
        <f>AM6*Datengrundlage!$C$63</f>
        <v>262.5</v>
      </c>
      <c r="AN56" s="55">
        <f>AN6*Datengrundlage!$C$63</f>
        <v>262.5</v>
      </c>
      <c r="AO56" s="55">
        <f>AO6*Datengrundlage!$C$63</f>
        <v>262.5</v>
      </c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</row>
    <row r="57" ht="15.75" customHeight="1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</row>
    <row r="58" ht="30.75" customHeight="1">
      <c r="A58" s="57" t="s">
        <v>85</v>
      </c>
      <c r="B58" s="55">
        <f>Investitionsplanung!$D$32*Datengrundlage!$C$65/100</f>
        <v>0</v>
      </c>
      <c r="C58" s="55">
        <f>Investitionsplanung!$D$32*Datengrundlage!$C$65/100</f>
        <v>0</v>
      </c>
      <c r="D58" s="55">
        <f>Investitionsplanung!$D$32*Datengrundlage!$C$65/100</f>
        <v>0</v>
      </c>
      <c r="E58" s="55">
        <f>Investitionsplanung!$D$32*Datengrundlage!$C$65/100</f>
        <v>0</v>
      </c>
      <c r="F58" s="55">
        <f>Investitionsplanung!$D$32*Datengrundlage!$C$65/100</f>
        <v>0</v>
      </c>
      <c r="G58" s="55">
        <f>Investitionsplanung!$D$32*Datengrundlage!$C$65/100</f>
        <v>0</v>
      </c>
      <c r="H58" s="55">
        <f>Investitionsplanung!$D$32*Datengrundlage!$C$65/100</f>
        <v>0</v>
      </c>
      <c r="I58" s="55">
        <f>Investitionsplanung!$D$32*Datengrundlage!$C$65/100</f>
        <v>0</v>
      </c>
      <c r="J58" s="55">
        <f>Investitionsplanung!$D$32*Datengrundlage!$C$65/100</f>
        <v>0</v>
      </c>
      <c r="K58" s="56">
        <f>Investitionsplanung!$D$32*Datengrundlage!$C$65/100</f>
        <v>0</v>
      </c>
      <c r="L58" s="55">
        <f>Investitionsplanung!$D$32*Datengrundlage!$C$65/100</f>
        <v>0</v>
      </c>
      <c r="M58" s="55">
        <f>Investitionsplanung!$D$32*Datengrundlage!$C$65/100</f>
        <v>0</v>
      </c>
      <c r="N58" s="55">
        <f>Investitionsplanung!$D$32*Datengrundlage!$C$65/100</f>
        <v>0</v>
      </c>
      <c r="O58" s="55">
        <f>Investitionsplanung!$D$32*Datengrundlage!$C$65/100</f>
        <v>0</v>
      </c>
      <c r="P58" s="55">
        <f>Investitionsplanung!$D$32*Datengrundlage!$C$65/100</f>
        <v>0</v>
      </c>
      <c r="Q58" s="55">
        <f>Investitionsplanung!$D$32*Datengrundlage!$C$65/100</f>
        <v>0</v>
      </c>
      <c r="R58" s="55">
        <f>Investitionsplanung!$D$32*Datengrundlage!$C$65/100</f>
        <v>0</v>
      </c>
      <c r="S58" s="55">
        <f>Investitionsplanung!$D$32*Datengrundlage!$C$65/100</f>
        <v>0</v>
      </c>
      <c r="T58" s="55">
        <f>Investitionsplanung!$D$32*Datengrundlage!$C$65/100</f>
        <v>0</v>
      </c>
      <c r="U58" s="55">
        <f>Investitionsplanung!$D$32*Datengrundlage!$C$65/100</f>
        <v>0</v>
      </c>
      <c r="V58" s="55">
        <f>Investitionsplanung!$D$32*Datengrundlage!$C$65/100</f>
        <v>0</v>
      </c>
      <c r="W58" s="55">
        <f>Investitionsplanung!$D$32*Datengrundlage!$C$65/100</f>
        <v>0</v>
      </c>
      <c r="X58" s="55">
        <f>Investitionsplanung!$D$32*Datengrundlage!$C$65/100</f>
        <v>0</v>
      </c>
      <c r="Y58" s="55">
        <f>Investitionsplanung!$D$32*Datengrundlage!$C$65/100</f>
        <v>0</v>
      </c>
      <c r="Z58" s="55">
        <f>Investitionsplanung!$D$32*Datengrundlage!$C$65/100</f>
        <v>0</v>
      </c>
      <c r="AA58" s="55">
        <f>Investitionsplanung!$D$32*Datengrundlage!$C$65/100</f>
        <v>0</v>
      </c>
      <c r="AB58" s="55">
        <f>Investitionsplanung!$D$32*Datengrundlage!$C$65/100</f>
        <v>0</v>
      </c>
      <c r="AC58" s="55">
        <f>Investitionsplanung!$D$32*Datengrundlage!$C$65/100</f>
        <v>0</v>
      </c>
      <c r="AD58" s="55">
        <f>Investitionsplanung!$D$32*Datengrundlage!$C$65/100</f>
        <v>0</v>
      </c>
      <c r="AE58" s="55">
        <f>Investitionsplanung!$D$32*Datengrundlage!$C$65/100</f>
        <v>0</v>
      </c>
      <c r="AF58" s="55">
        <f>Investitionsplanung!$D$32*Datengrundlage!$C$65/100</f>
        <v>0</v>
      </c>
      <c r="AG58" s="55">
        <f>Investitionsplanung!$D$32*Datengrundlage!$C$65/100</f>
        <v>0</v>
      </c>
      <c r="AH58" s="55">
        <f>Investitionsplanung!$D$32*Datengrundlage!$C$65/100</f>
        <v>0</v>
      </c>
      <c r="AI58" s="55">
        <f>Investitionsplanung!$D$32*Datengrundlage!$C$65/100</f>
        <v>0</v>
      </c>
      <c r="AJ58" s="55">
        <f>Investitionsplanung!$D$32*Datengrundlage!$C$65/100</f>
        <v>0</v>
      </c>
      <c r="AK58" s="55">
        <f>Investitionsplanung!$D$32*Datengrundlage!$C$65/100</f>
        <v>0</v>
      </c>
      <c r="AL58" s="55">
        <f>Investitionsplanung!$D$32*Datengrundlage!$C$65/100</f>
        <v>0</v>
      </c>
      <c r="AM58" s="55">
        <f>Investitionsplanung!$D$32*Datengrundlage!$C$65/100</f>
        <v>0</v>
      </c>
      <c r="AN58" s="55">
        <f>Investitionsplanung!$D$32*Datengrundlage!$C$65/100</f>
        <v>0</v>
      </c>
      <c r="AO58" s="55">
        <f>Investitionsplanung!$D$32*Datengrundlage!$C$65/100</f>
        <v>0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</row>
    <row r="59" ht="15.75" customHeight="1">
      <c r="A59" s="54" t="s">
        <v>198</v>
      </c>
      <c r="B59" s="55">
        <f>Datengrundlage!$C$76*B10*Datengrundlage!$C$77*10000</f>
        <v>372.6</v>
      </c>
      <c r="C59" s="55">
        <f>Datengrundlage!$C$76*C10*Datengrundlage!$C$77*10000</f>
        <v>558.9</v>
      </c>
      <c r="D59" s="55">
        <f>Datengrundlage!$C$76*D10*Datengrundlage!$C$77*10000</f>
        <v>745.2</v>
      </c>
      <c r="E59" s="55">
        <f>Datengrundlage!$C$76*E10*Datengrundlage!$C$77*10000</f>
        <v>931.5</v>
      </c>
      <c r="F59" s="55">
        <f>Datengrundlage!$C$76*F10*Datengrundlage!$C$77*10000</f>
        <v>1117.8</v>
      </c>
      <c r="G59" s="55">
        <f>Datengrundlage!$C$76*G10*Datengrundlage!$C$77*10000</f>
        <v>1304.1</v>
      </c>
      <c r="H59" s="55">
        <f>Datengrundlage!$C$76*H10*Datengrundlage!$C$77*10000</f>
        <v>1490.4</v>
      </c>
      <c r="I59" s="55">
        <f>Datengrundlage!$C$76*I10*Datengrundlage!$C$77*10000</f>
        <v>1676.7</v>
      </c>
      <c r="J59" s="55">
        <f>Datengrundlage!$C$76*J10*Datengrundlage!$C$77*10000</f>
        <v>1863</v>
      </c>
      <c r="K59" s="56">
        <f>Datengrundlage!$C$76*K10*Datengrundlage!$C$77*10000</f>
        <v>2049.3</v>
      </c>
      <c r="L59" s="55">
        <f>Datengrundlage!$C$76*L10*Datengrundlage!$C$77*10000</f>
        <v>2235.6</v>
      </c>
      <c r="M59" s="55">
        <f>Datengrundlage!$C$76*M10*Datengrundlage!$C$77*10000</f>
        <v>2421.9</v>
      </c>
      <c r="N59" s="55">
        <f>Datengrundlage!$C$76*N10*Datengrundlage!$C$77*10000</f>
        <v>2608.2</v>
      </c>
      <c r="O59" s="55">
        <f>Datengrundlage!$C$76*O10*Datengrundlage!$C$77*10000</f>
        <v>2794.5</v>
      </c>
      <c r="P59" s="55">
        <f>Datengrundlage!$C$76*P10*Datengrundlage!$C$77*10000</f>
        <v>2980.8</v>
      </c>
      <c r="Q59" s="55">
        <f>Datengrundlage!$C$76*Q10*Datengrundlage!$C$77*10000</f>
        <v>3167.1</v>
      </c>
      <c r="R59" s="55">
        <f>Datengrundlage!$C$76*R10*Datengrundlage!$C$77*10000</f>
        <v>3353.4</v>
      </c>
      <c r="S59" s="55">
        <f>Datengrundlage!$C$76*S10*Datengrundlage!$C$77*10000</f>
        <v>3539.7</v>
      </c>
      <c r="T59" s="55">
        <f>Datengrundlage!$C$76*T10*Datengrundlage!$C$77*10000</f>
        <v>3726</v>
      </c>
      <c r="U59" s="55">
        <f>Datengrundlage!$C$76*U10*Datengrundlage!$C$77*10000</f>
        <v>3912.3</v>
      </c>
      <c r="V59" s="55">
        <f>Datengrundlage!$C$76*V10*Datengrundlage!$C$77*10000</f>
        <v>4098.6</v>
      </c>
      <c r="W59" s="55">
        <f>Datengrundlage!$C$76*W10*Datengrundlage!$C$77*10000</f>
        <v>4284.9</v>
      </c>
      <c r="X59" s="55">
        <f>Datengrundlage!$C$76*X10*Datengrundlage!$C$77*10000</f>
        <v>4471.2</v>
      </c>
      <c r="Y59" s="55">
        <f>Datengrundlage!$C$76*Y10*Datengrundlage!$C$77*10000</f>
        <v>4657.5</v>
      </c>
      <c r="Z59" s="55">
        <f>Datengrundlage!$C$76*Z10*Datengrundlage!$C$77*10000</f>
        <v>4843.8</v>
      </c>
      <c r="AA59" s="55">
        <f>Datengrundlage!$C$76*AA10*Datengrundlage!$C$77*10000</f>
        <v>5030.1</v>
      </c>
      <c r="AB59" s="55">
        <f>Datengrundlage!$C$76*AB10*Datengrundlage!$C$77*10000</f>
        <v>5216.4</v>
      </c>
      <c r="AC59" s="55">
        <f>Datengrundlage!$C$76*AC10*Datengrundlage!$C$77*10000</f>
        <v>5402.7</v>
      </c>
      <c r="AD59" s="55">
        <f>Datengrundlage!$C$76*AD10*Datengrundlage!$C$77*10000</f>
        <v>5589</v>
      </c>
      <c r="AE59" s="55">
        <f>Datengrundlage!$C$76*AE10*Datengrundlage!$C$77*10000</f>
        <v>5775.3</v>
      </c>
      <c r="AF59" s="55">
        <f>Datengrundlage!$C$76*AF10*Datengrundlage!$C$77*10000</f>
        <v>5961.6</v>
      </c>
      <c r="AG59" s="55">
        <f>Datengrundlage!$C$76*AG10*Datengrundlage!$C$77*10000</f>
        <v>6147.9</v>
      </c>
      <c r="AH59" s="55">
        <f>Datengrundlage!$C$76*AH10*Datengrundlage!$C$77*10000</f>
        <v>6334.2</v>
      </c>
      <c r="AI59" s="55">
        <f>Datengrundlage!$C$76*AI10*Datengrundlage!$C$77*10000</f>
        <v>6520.5</v>
      </c>
      <c r="AJ59" s="55">
        <f>Datengrundlage!$C$76*AJ10*Datengrundlage!$C$77*10000</f>
        <v>6706.8</v>
      </c>
      <c r="AK59" s="55">
        <f>Datengrundlage!$C$76*AK10*Datengrundlage!$C$77*10000</f>
        <v>6893.1</v>
      </c>
      <c r="AL59" s="55">
        <f>Datengrundlage!$C$76*AL10*Datengrundlage!$C$77*10000</f>
        <v>7079.4</v>
      </c>
      <c r="AM59" s="55">
        <f>Datengrundlage!$C$76*AM10*Datengrundlage!$C$77*10000</f>
        <v>7265.7</v>
      </c>
      <c r="AN59" s="55">
        <f>Datengrundlage!$C$76*AN10*Datengrundlage!$C$77*10000</f>
        <v>7452</v>
      </c>
      <c r="AO59" s="55">
        <f>Datengrundlage!$C$76*AO10*Datengrundlage!$C$77*10000</f>
        <v>7638.3</v>
      </c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</row>
    <row r="60" ht="15.75" customHeight="1">
      <c r="A60" s="54" t="s">
        <v>199</v>
      </c>
      <c r="B60" s="55">
        <f>Datengrundlage!$C$66+Datengrundlage!$C$67*B3/50</f>
        <v>550</v>
      </c>
      <c r="C60" s="55">
        <f>Datengrundlage!$C$66+Datengrundlage!$C$67*C3/50</f>
        <v>575</v>
      </c>
      <c r="D60" s="55">
        <f>Datengrundlage!$C$66+Datengrundlage!$C$67*D3/50</f>
        <v>600</v>
      </c>
      <c r="E60" s="55">
        <f>Datengrundlage!$C$66+Datengrundlage!$C$67*E3/50</f>
        <v>625</v>
      </c>
      <c r="F60" s="55">
        <f>Datengrundlage!$C$66+Datengrundlage!$C$67*F3/50</f>
        <v>650</v>
      </c>
      <c r="G60" s="55">
        <f>Datengrundlage!$C$66+Datengrundlage!$C$67*G3/50</f>
        <v>675</v>
      </c>
      <c r="H60" s="55">
        <f>Datengrundlage!$C$66+Datengrundlage!$C$67*H3/50</f>
        <v>700</v>
      </c>
      <c r="I60" s="55">
        <f>Datengrundlage!$C$66+Datengrundlage!$C$67*I3/50</f>
        <v>725</v>
      </c>
      <c r="J60" s="55">
        <f>Datengrundlage!$C$66+Datengrundlage!$C$67*J3/50</f>
        <v>750</v>
      </c>
      <c r="K60" s="56">
        <f>Datengrundlage!$C$66+Datengrundlage!$C$67*K3/50</f>
        <v>775</v>
      </c>
      <c r="L60" s="55">
        <f>Datengrundlage!$C$66+Datengrundlage!$C$67*L3/50</f>
        <v>800</v>
      </c>
      <c r="M60" s="55">
        <f>Datengrundlage!$C$66+Datengrundlage!$C$67*M3/50</f>
        <v>825</v>
      </c>
      <c r="N60" s="55">
        <f>Datengrundlage!$C$66+Datengrundlage!$C$67*N3/50</f>
        <v>850</v>
      </c>
      <c r="O60" s="55">
        <f>Datengrundlage!$C$66+Datengrundlage!$C$67*O3/50</f>
        <v>875</v>
      </c>
      <c r="P60" s="55">
        <f>Datengrundlage!$C$66+Datengrundlage!$C$67*P3/50</f>
        <v>900</v>
      </c>
      <c r="Q60" s="55">
        <f>Datengrundlage!$C$66+Datengrundlage!$C$67*Q3/50</f>
        <v>925</v>
      </c>
      <c r="R60" s="55">
        <f>Datengrundlage!$C$66+Datengrundlage!$C$67*R3/50</f>
        <v>950</v>
      </c>
      <c r="S60" s="55">
        <f>Datengrundlage!$C$66+Datengrundlage!$C$67*S3/50</f>
        <v>975</v>
      </c>
      <c r="T60" s="55">
        <f>Datengrundlage!$C$66+Datengrundlage!$C$67*T3/50</f>
        <v>1000</v>
      </c>
      <c r="U60" s="55">
        <f>Datengrundlage!$C$66+Datengrundlage!$C$67*U3/50</f>
        <v>1025</v>
      </c>
      <c r="V60" s="55">
        <f>Datengrundlage!$C$66+Datengrundlage!$C$67*V3/50</f>
        <v>1050</v>
      </c>
      <c r="W60" s="55">
        <f>Datengrundlage!$C$66+Datengrundlage!$C$67*W3/50</f>
        <v>1075</v>
      </c>
      <c r="X60" s="55">
        <f>Datengrundlage!$C$66+Datengrundlage!$C$67*X3/50</f>
        <v>1100</v>
      </c>
      <c r="Y60" s="55">
        <f>Datengrundlage!$C$66+Datengrundlage!$C$67*Y3/50</f>
        <v>1125</v>
      </c>
      <c r="Z60" s="55">
        <f>Datengrundlage!$C$66+Datengrundlage!$C$67*Z3/50</f>
        <v>1150</v>
      </c>
      <c r="AA60" s="55">
        <f>Datengrundlage!$C$66+Datengrundlage!$C$67*AA3/50</f>
        <v>1175</v>
      </c>
      <c r="AB60" s="55">
        <f>Datengrundlage!$C$66+Datengrundlage!$C$67*AB3/50</f>
        <v>1200</v>
      </c>
      <c r="AC60" s="55">
        <f>Datengrundlage!$C$66+Datengrundlage!$C$67*AC3/50</f>
        <v>1225</v>
      </c>
      <c r="AD60" s="55">
        <f>Datengrundlage!$C$66+Datengrundlage!$C$67*AD3/50</f>
        <v>1250</v>
      </c>
      <c r="AE60" s="55">
        <f>Datengrundlage!$C$66+Datengrundlage!$C$67*AE3/50</f>
        <v>1275</v>
      </c>
      <c r="AF60" s="55">
        <f>Datengrundlage!$C$66+Datengrundlage!$C$67*AF3/50</f>
        <v>1300</v>
      </c>
      <c r="AG60" s="55">
        <f>Datengrundlage!$C$66+Datengrundlage!$C$67*AG3/50</f>
        <v>1325</v>
      </c>
      <c r="AH60" s="55">
        <f>Datengrundlage!$C$66+Datengrundlage!$C$67*AH3/50</f>
        <v>1350</v>
      </c>
      <c r="AI60" s="55">
        <f>Datengrundlage!$C$66+Datengrundlage!$C$67*AI3/50</f>
        <v>1375</v>
      </c>
      <c r="AJ60" s="55">
        <f>Datengrundlage!$C$66+Datengrundlage!$C$67*AJ3/50</f>
        <v>1400</v>
      </c>
      <c r="AK60" s="55">
        <f>Datengrundlage!$C$66+Datengrundlage!$C$67*AK3/50</f>
        <v>1425</v>
      </c>
      <c r="AL60" s="55">
        <f>Datengrundlage!$C$66+Datengrundlage!$C$67*AL3/50</f>
        <v>1450</v>
      </c>
      <c r="AM60" s="55">
        <f>Datengrundlage!$C$66+Datengrundlage!$C$67*AM3/50</f>
        <v>1475</v>
      </c>
      <c r="AN60" s="55">
        <f>Datengrundlage!$C$66+Datengrundlage!$C$67*AN3/50</f>
        <v>1500</v>
      </c>
      <c r="AO60" s="55">
        <f>Datengrundlage!$C$66+Datengrundlage!$C$67*AO3/50</f>
        <v>1525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</row>
    <row r="61" ht="15.75" customHeight="1">
      <c r="A61" s="54" t="s">
        <v>200</v>
      </c>
      <c r="B61" s="55">
        <f t="shared" ref="B61:AO61" si="11">50*1.3*(320/10*B23/$B$23+120/10*B24/$B$24)</f>
        <v>2860</v>
      </c>
      <c r="C61" s="55">
        <f t="shared" si="11"/>
        <v>2860</v>
      </c>
      <c r="D61" s="55">
        <f t="shared" si="11"/>
        <v>2860</v>
      </c>
      <c r="E61" s="55">
        <f t="shared" si="11"/>
        <v>2860</v>
      </c>
      <c r="F61" s="55">
        <f t="shared" si="11"/>
        <v>2860</v>
      </c>
      <c r="G61" s="55">
        <f t="shared" si="11"/>
        <v>2860</v>
      </c>
      <c r="H61" s="55">
        <f t="shared" si="11"/>
        <v>2860</v>
      </c>
      <c r="I61" s="55">
        <f t="shared" si="11"/>
        <v>4940</v>
      </c>
      <c r="J61" s="55">
        <f t="shared" si="11"/>
        <v>4940</v>
      </c>
      <c r="K61" s="56">
        <f t="shared" si="11"/>
        <v>4940</v>
      </c>
      <c r="L61" s="55">
        <f t="shared" si="11"/>
        <v>4940</v>
      </c>
      <c r="M61" s="55">
        <f t="shared" si="11"/>
        <v>4940</v>
      </c>
      <c r="N61" s="55">
        <f t="shared" si="11"/>
        <v>4940</v>
      </c>
      <c r="O61" s="55">
        <f t="shared" si="11"/>
        <v>4940</v>
      </c>
      <c r="P61" s="55">
        <f t="shared" si="11"/>
        <v>4940</v>
      </c>
      <c r="Q61" s="55">
        <f t="shared" si="11"/>
        <v>4940</v>
      </c>
      <c r="R61" s="55">
        <f t="shared" si="11"/>
        <v>7020</v>
      </c>
      <c r="S61" s="55">
        <f t="shared" si="11"/>
        <v>7800</v>
      </c>
      <c r="T61" s="55">
        <f t="shared" si="11"/>
        <v>7800</v>
      </c>
      <c r="U61" s="55">
        <f t="shared" si="11"/>
        <v>7800</v>
      </c>
      <c r="V61" s="55">
        <f t="shared" si="11"/>
        <v>7800</v>
      </c>
      <c r="W61" s="55">
        <f t="shared" si="11"/>
        <v>7800</v>
      </c>
      <c r="X61" s="55">
        <f t="shared" si="11"/>
        <v>7800</v>
      </c>
      <c r="Y61" s="55">
        <f t="shared" si="11"/>
        <v>9880</v>
      </c>
      <c r="Z61" s="55">
        <f t="shared" si="11"/>
        <v>9880</v>
      </c>
      <c r="AA61" s="55">
        <f t="shared" si="11"/>
        <v>9880</v>
      </c>
      <c r="AB61" s="55">
        <f t="shared" si="11"/>
        <v>9880</v>
      </c>
      <c r="AC61" s="55">
        <f t="shared" si="11"/>
        <v>9880</v>
      </c>
      <c r="AD61" s="55">
        <f t="shared" si="11"/>
        <v>9880</v>
      </c>
      <c r="AE61" s="55">
        <f t="shared" si="11"/>
        <v>9880</v>
      </c>
      <c r="AF61" s="55">
        <f t="shared" si="11"/>
        <v>9880</v>
      </c>
      <c r="AG61" s="55">
        <f t="shared" si="11"/>
        <v>11960</v>
      </c>
      <c r="AH61" s="55">
        <f t="shared" si="11"/>
        <v>11960</v>
      </c>
      <c r="AI61" s="55">
        <f t="shared" si="11"/>
        <v>11960</v>
      </c>
      <c r="AJ61" s="55">
        <f t="shared" si="11"/>
        <v>11960</v>
      </c>
      <c r="AK61" s="55">
        <f t="shared" si="11"/>
        <v>11960</v>
      </c>
      <c r="AL61" s="55">
        <f t="shared" si="11"/>
        <v>11960</v>
      </c>
      <c r="AM61" s="55">
        <f t="shared" si="11"/>
        <v>14820</v>
      </c>
      <c r="AN61" s="55">
        <f t="shared" si="11"/>
        <v>14820</v>
      </c>
      <c r="AO61" s="55">
        <f t="shared" si="11"/>
        <v>14820</v>
      </c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</row>
    <row r="62" ht="15.75" customHeight="1">
      <c r="A62" s="54" t="s">
        <v>201</v>
      </c>
      <c r="B62" s="55">
        <f>Datengrundlage!$C$68*B3/75*12</f>
        <v>600</v>
      </c>
      <c r="C62" s="55">
        <f>Datengrundlage!$C$68*C3/75*12</f>
        <v>900</v>
      </c>
      <c r="D62" s="55">
        <f>Datengrundlage!$C$68*D3/75*12</f>
        <v>1200</v>
      </c>
      <c r="E62" s="55">
        <f>Datengrundlage!$C$68*E3/75*12</f>
        <v>1500</v>
      </c>
      <c r="F62" s="55">
        <f>Datengrundlage!$C$68*F3/75*12</f>
        <v>1800</v>
      </c>
      <c r="G62" s="55">
        <f>Datengrundlage!$C$68*G3/75*12</f>
        <v>2100</v>
      </c>
      <c r="H62" s="55">
        <f>Datengrundlage!$C$68*H3/75*12</f>
        <v>2400</v>
      </c>
      <c r="I62" s="55">
        <f>Datengrundlage!$C$68*I3/75*12</f>
        <v>2700</v>
      </c>
      <c r="J62" s="55">
        <f>Datengrundlage!$C$68*J3/75*12</f>
        <v>3000</v>
      </c>
      <c r="K62" s="56">
        <f>Datengrundlage!$C$68*K3/75*12</f>
        <v>3300</v>
      </c>
      <c r="L62" s="55">
        <f>Datengrundlage!$C$68*L3/75*12</f>
        <v>3600</v>
      </c>
      <c r="M62" s="55">
        <f>Datengrundlage!$C$68*M3/75*12</f>
        <v>3900</v>
      </c>
      <c r="N62" s="55">
        <f>Datengrundlage!$C$68*N3/75*12</f>
        <v>4200</v>
      </c>
      <c r="O62" s="55">
        <f>Datengrundlage!$C$68*O3/75*12</f>
        <v>4500</v>
      </c>
      <c r="P62" s="55">
        <f>Datengrundlage!$C$68*P3/75*12</f>
        <v>4800</v>
      </c>
      <c r="Q62" s="55">
        <f>Datengrundlage!$C$68*Q3/75*12</f>
        <v>5100</v>
      </c>
      <c r="R62" s="55">
        <f>Datengrundlage!$C$68*R3/75*12</f>
        <v>5400</v>
      </c>
      <c r="S62" s="55">
        <f>Datengrundlage!$C$68*S3/75*12</f>
        <v>5700</v>
      </c>
      <c r="T62" s="55">
        <f>Datengrundlage!$C$68*T3/75*12</f>
        <v>6000</v>
      </c>
      <c r="U62" s="55">
        <f>Datengrundlage!$C$68*U3/75*12</f>
        <v>6300</v>
      </c>
      <c r="V62" s="55">
        <f>Datengrundlage!$C$68*V3/75*12</f>
        <v>6600</v>
      </c>
      <c r="W62" s="55">
        <f>Datengrundlage!$C$68*W3/75*12</f>
        <v>6900</v>
      </c>
      <c r="X62" s="55">
        <f>Datengrundlage!$C$68*X3/75*12</f>
        <v>7200</v>
      </c>
      <c r="Y62" s="55">
        <f>Datengrundlage!$C$68*Y3/75*12</f>
        <v>7500</v>
      </c>
      <c r="Z62" s="55">
        <f>Datengrundlage!$C$68*Z3/75*12</f>
        <v>7800</v>
      </c>
      <c r="AA62" s="55">
        <f>Datengrundlage!$C$68*AA3/75*12</f>
        <v>8100</v>
      </c>
      <c r="AB62" s="55">
        <f>Datengrundlage!$C$68*AB3/75*12</f>
        <v>8400</v>
      </c>
      <c r="AC62" s="55">
        <f>Datengrundlage!$C$68*AC3/75*12</f>
        <v>8700</v>
      </c>
      <c r="AD62" s="55">
        <f>Datengrundlage!$C$68*AD3/75*12</f>
        <v>9000</v>
      </c>
      <c r="AE62" s="55">
        <f>Datengrundlage!$C$68*AE3/75*12</f>
        <v>9300</v>
      </c>
      <c r="AF62" s="55">
        <f>Datengrundlage!$C$68*AF3/75*12</f>
        <v>9600</v>
      </c>
      <c r="AG62" s="55">
        <f>Datengrundlage!$C$68*AG3/75*12</f>
        <v>9900</v>
      </c>
      <c r="AH62" s="55">
        <f>Datengrundlage!$C$68*AH3/75*12</f>
        <v>10200</v>
      </c>
      <c r="AI62" s="55">
        <f>Datengrundlage!$C$68*AI3/75*12</f>
        <v>10500</v>
      </c>
      <c r="AJ62" s="55">
        <f>Datengrundlage!$C$68*AJ3/75*12</f>
        <v>10800</v>
      </c>
      <c r="AK62" s="55">
        <f>Datengrundlage!$C$68*AK3/75*12</f>
        <v>11100</v>
      </c>
      <c r="AL62" s="55">
        <f>Datengrundlage!$C$68*AL3/75*12</f>
        <v>11400</v>
      </c>
      <c r="AM62" s="55">
        <f>Datengrundlage!$C$68*AM3/75*12</f>
        <v>11700</v>
      </c>
      <c r="AN62" s="55">
        <f>Datengrundlage!$C$68*AN3/75*12</f>
        <v>12000</v>
      </c>
      <c r="AO62" s="55">
        <f>Datengrundlage!$C$68*AO3/75*12</f>
        <v>12300</v>
      </c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</row>
    <row r="63" ht="15.75" customHeight="1">
      <c r="A63" s="54" t="s">
        <v>89</v>
      </c>
      <c r="B63" s="55">
        <f>Datengrundlage!$C$69</f>
        <v>150</v>
      </c>
      <c r="C63" s="55">
        <f>Datengrundlage!$C$69</f>
        <v>150</v>
      </c>
      <c r="D63" s="55">
        <f>Datengrundlage!$C$69</f>
        <v>150</v>
      </c>
      <c r="E63" s="55">
        <f>Datengrundlage!$C$69</f>
        <v>150</v>
      </c>
      <c r="F63" s="55">
        <f>Datengrundlage!$C$69</f>
        <v>150</v>
      </c>
      <c r="G63" s="55">
        <f>Datengrundlage!$C$69</f>
        <v>150</v>
      </c>
      <c r="H63" s="55">
        <f>Datengrundlage!$C$69</f>
        <v>150</v>
      </c>
      <c r="I63" s="55">
        <f>Datengrundlage!$C$69</f>
        <v>150</v>
      </c>
      <c r="J63" s="55">
        <f>Datengrundlage!$C$69</f>
        <v>150</v>
      </c>
      <c r="K63" s="56">
        <f>Datengrundlage!$C$69</f>
        <v>150</v>
      </c>
      <c r="L63" s="55">
        <f>Datengrundlage!$C$69</f>
        <v>150</v>
      </c>
      <c r="M63" s="55">
        <f>Datengrundlage!$C$69</f>
        <v>150</v>
      </c>
      <c r="N63" s="55">
        <f>Datengrundlage!$C$69</f>
        <v>150</v>
      </c>
      <c r="O63" s="55">
        <f>Datengrundlage!$C$69</f>
        <v>150</v>
      </c>
      <c r="P63" s="55">
        <f>Datengrundlage!$C$69</f>
        <v>150</v>
      </c>
      <c r="Q63" s="55">
        <f>Datengrundlage!$C$69</f>
        <v>150</v>
      </c>
      <c r="R63" s="55">
        <f>Datengrundlage!$C$69</f>
        <v>150</v>
      </c>
      <c r="S63" s="55">
        <f>Datengrundlage!$C$69</f>
        <v>150</v>
      </c>
      <c r="T63" s="55">
        <f>Datengrundlage!$C$69</f>
        <v>150</v>
      </c>
      <c r="U63" s="55">
        <f>Datengrundlage!$C$69</f>
        <v>150</v>
      </c>
      <c r="V63" s="55">
        <f>Datengrundlage!$C$69</f>
        <v>150</v>
      </c>
      <c r="W63" s="55">
        <f>Datengrundlage!$C$69</f>
        <v>150</v>
      </c>
      <c r="X63" s="55">
        <f>Datengrundlage!$C$69</f>
        <v>150</v>
      </c>
      <c r="Y63" s="55">
        <f>Datengrundlage!$C$69</f>
        <v>150</v>
      </c>
      <c r="Z63" s="55">
        <f>Datengrundlage!$C$69</f>
        <v>150</v>
      </c>
      <c r="AA63" s="55">
        <f>Datengrundlage!$C$69</f>
        <v>150</v>
      </c>
      <c r="AB63" s="55">
        <f>Datengrundlage!$C$69</f>
        <v>150</v>
      </c>
      <c r="AC63" s="55">
        <f>Datengrundlage!$C$69</f>
        <v>150</v>
      </c>
      <c r="AD63" s="55">
        <f>Datengrundlage!$C$69</f>
        <v>150</v>
      </c>
      <c r="AE63" s="55">
        <f>Datengrundlage!$C$69</f>
        <v>150</v>
      </c>
      <c r="AF63" s="55">
        <f>Datengrundlage!$C$69</f>
        <v>150</v>
      </c>
      <c r="AG63" s="55">
        <f>Datengrundlage!$C$69</f>
        <v>150</v>
      </c>
      <c r="AH63" s="55">
        <f>Datengrundlage!$C$69</f>
        <v>150</v>
      </c>
      <c r="AI63" s="55">
        <f>Datengrundlage!$C$69</f>
        <v>150</v>
      </c>
      <c r="AJ63" s="55">
        <f>Datengrundlage!$C$69</f>
        <v>150</v>
      </c>
      <c r="AK63" s="55">
        <f>Datengrundlage!$C$69</f>
        <v>150</v>
      </c>
      <c r="AL63" s="55">
        <f>Datengrundlage!$C$69</f>
        <v>150</v>
      </c>
      <c r="AM63" s="55">
        <f>Datengrundlage!$C$69</f>
        <v>150</v>
      </c>
      <c r="AN63" s="55">
        <f>Datengrundlage!$C$69</f>
        <v>150</v>
      </c>
      <c r="AO63" s="55">
        <f>Datengrundlage!$C$69</f>
        <v>150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</row>
    <row r="64" ht="15.75" customHeight="1">
      <c r="A64" s="4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</row>
    <row r="65" ht="15.75" customHeight="1">
      <c r="A65" s="5" t="s">
        <v>202</v>
      </c>
      <c r="B65" s="38">
        <f>SUM(B66:B70)</f>
        <v>34081.64848</v>
      </c>
      <c r="C65" s="58">
        <f t="shared" ref="C65:AO65" si="12">SUM(C66:C71)</f>
        <v>41566.29494</v>
      </c>
      <c r="D65" s="38">
        <f t="shared" si="12"/>
        <v>48700.94141</v>
      </c>
      <c r="E65" s="38">
        <f t="shared" si="12"/>
        <v>55835.58788</v>
      </c>
      <c r="F65" s="38">
        <f t="shared" si="12"/>
        <v>62970.23434</v>
      </c>
      <c r="G65" s="58">
        <f t="shared" si="12"/>
        <v>70104.88081</v>
      </c>
      <c r="H65" s="38">
        <f t="shared" si="12"/>
        <v>77239.52728</v>
      </c>
      <c r="I65" s="38">
        <f t="shared" si="12"/>
        <v>89836.76087</v>
      </c>
      <c r="J65" s="38">
        <f t="shared" si="12"/>
        <v>96971.40733</v>
      </c>
      <c r="K65" s="39">
        <f t="shared" si="12"/>
        <v>104106.0538</v>
      </c>
      <c r="L65" s="38">
        <f t="shared" si="12"/>
        <v>111240.7003</v>
      </c>
      <c r="M65" s="38">
        <f t="shared" si="12"/>
        <v>118375.3467</v>
      </c>
      <c r="N65" s="38">
        <f t="shared" si="12"/>
        <v>125509.9932</v>
      </c>
      <c r="O65" s="38">
        <f t="shared" si="12"/>
        <v>132644.6397</v>
      </c>
      <c r="P65" s="38">
        <f t="shared" si="12"/>
        <v>139779.2861</v>
      </c>
      <c r="Q65" s="38">
        <f t="shared" si="12"/>
        <v>146913.9326</v>
      </c>
      <c r="R65" s="38">
        <f t="shared" si="12"/>
        <v>159511.1662</v>
      </c>
      <c r="S65" s="38">
        <f t="shared" si="12"/>
        <v>169984.0603</v>
      </c>
      <c r="T65" s="38">
        <f t="shared" si="12"/>
        <v>177118.7068</v>
      </c>
      <c r="U65" s="38">
        <f t="shared" si="12"/>
        <v>184253.3533</v>
      </c>
      <c r="V65" s="38">
        <f t="shared" si="12"/>
        <v>191387.9997</v>
      </c>
      <c r="W65" s="38">
        <f t="shared" si="12"/>
        <v>198522.6462</v>
      </c>
      <c r="X65" s="38">
        <f t="shared" si="12"/>
        <v>205657.2927</v>
      </c>
      <c r="Y65" s="38">
        <f t="shared" si="12"/>
        <v>218254.5263</v>
      </c>
      <c r="Z65" s="38">
        <f t="shared" si="12"/>
        <v>225389.1727</v>
      </c>
      <c r="AA65" s="38">
        <f t="shared" si="12"/>
        <v>232523.8192</v>
      </c>
      <c r="AB65" s="38">
        <f t="shared" si="12"/>
        <v>239658.4657</v>
      </c>
      <c r="AC65" s="38">
        <f t="shared" si="12"/>
        <v>246793.1121</v>
      </c>
      <c r="AD65" s="38">
        <f t="shared" si="12"/>
        <v>253927.7586</v>
      </c>
      <c r="AE65" s="38">
        <f t="shared" si="12"/>
        <v>261062.4051</v>
      </c>
      <c r="AF65" s="38">
        <f t="shared" si="12"/>
        <v>268197.0515</v>
      </c>
      <c r="AG65" s="38">
        <f t="shared" si="12"/>
        <v>280794.2851</v>
      </c>
      <c r="AH65" s="38">
        <f t="shared" si="12"/>
        <v>287928.9316</v>
      </c>
      <c r="AI65" s="38">
        <f t="shared" si="12"/>
        <v>295063.5781</v>
      </c>
      <c r="AJ65" s="38">
        <f t="shared" si="12"/>
        <v>302198.2245</v>
      </c>
      <c r="AK65" s="38">
        <f t="shared" si="12"/>
        <v>309332.871</v>
      </c>
      <c r="AL65" s="38">
        <f t="shared" si="12"/>
        <v>316467.5175</v>
      </c>
      <c r="AM65" s="38">
        <f t="shared" si="12"/>
        <v>332402.9987</v>
      </c>
      <c r="AN65" s="38">
        <f t="shared" si="12"/>
        <v>339537.6452</v>
      </c>
      <c r="AO65" s="38">
        <f t="shared" si="12"/>
        <v>346672.2917</v>
      </c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ht="15.75" customHeight="1">
      <c r="A66" s="1" t="s">
        <v>203</v>
      </c>
      <c r="B66" s="40">
        <f>Datengrundlage!$C$106*B17</f>
        <v>11975.80645</v>
      </c>
      <c r="C66" s="55">
        <f>Datengrundlage!$C$106*C17</f>
        <v>17963.70968</v>
      </c>
      <c r="D66" s="40">
        <f>Datengrundlage!$C$106*D17</f>
        <v>23951.6129</v>
      </c>
      <c r="E66" s="40">
        <f>Datengrundlage!$C$106*E17</f>
        <v>29939.51613</v>
      </c>
      <c r="F66" s="40">
        <f>Datengrundlage!$C$106*F17</f>
        <v>35927.41935</v>
      </c>
      <c r="G66" s="55">
        <f>Datengrundlage!$C$106*G17</f>
        <v>41915.32258</v>
      </c>
      <c r="H66" s="40">
        <f>Datengrundlage!$C$106*H17</f>
        <v>47903.22581</v>
      </c>
      <c r="I66" s="40">
        <f>Datengrundlage!$C$106*I17</f>
        <v>53891.12903</v>
      </c>
      <c r="J66" s="40">
        <f>Datengrundlage!$C$106*J17</f>
        <v>59879.03226</v>
      </c>
      <c r="K66" s="56">
        <f>Datengrundlage!$C$106*K17</f>
        <v>65866.93548</v>
      </c>
      <c r="L66" s="40">
        <f>Datengrundlage!$C$106*L17</f>
        <v>71854.83871</v>
      </c>
      <c r="M66" s="40">
        <f>Datengrundlage!$C$106*M17</f>
        <v>77842.74194</v>
      </c>
      <c r="N66" s="40">
        <f>Datengrundlage!$C$106*N17</f>
        <v>83830.64516</v>
      </c>
      <c r="O66" s="40">
        <f>Datengrundlage!$C$106*O17</f>
        <v>89818.54839</v>
      </c>
      <c r="P66" s="40">
        <f>Datengrundlage!$C$106*P17</f>
        <v>95806.45161</v>
      </c>
      <c r="Q66" s="40">
        <f>Datengrundlage!$C$106*Q17</f>
        <v>101794.3548</v>
      </c>
      <c r="R66" s="40">
        <f>Datengrundlage!$C$106*R17</f>
        <v>107782.2581</v>
      </c>
      <c r="S66" s="40">
        <f>Datengrundlage!$C$106*S17</f>
        <v>113770.1613</v>
      </c>
      <c r="T66" s="40">
        <f>Datengrundlage!$C$106*T17</f>
        <v>119758.0645</v>
      </c>
      <c r="U66" s="40">
        <f>Datengrundlage!$C$106*U17</f>
        <v>125745.9677</v>
      </c>
      <c r="V66" s="40">
        <f>Datengrundlage!$C$106*V17</f>
        <v>131733.871</v>
      </c>
      <c r="W66" s="40">
        <f>Datengrundlage!$C$106*W17</f>
        <v>137721.7742</v>
      </c>
      <c r="X66" s="40">
        <f>Datengrundlage!$C$106*X17</f>
        <v>143709.6774</v>
      </c>
      <c r="Y66" s="40">
        <f>Datengrundlage!$C$106*Y17</f>
        <v>149697.5806</v>
      </c>
      <c r="Z66" s="40">
        <f>Datengrundlage!$C$106*Z17</f>
        <v>155685.4839</v>
      </c>
      <c r="AA66" s="40">
        <f>Datengrundlage!$C$106*AA17</f>
        <v>161673.3871</v>
      </c>
      <c r="AB66" s="40">
        <f>Datengrundlage!$C$106*AB17</f>
        <v>167661.2903</v>
      </c>
      <c r="AC66" s="40">
        <f>Datengrundlage!$C$106*AC17</f>
        <v>173649.1935</v>
      </c>
      <c r="AD66" s="40">
        <f>Datengrundlage!$C$106*AD17</f>
        <v>179637.0968</v>
      </c>
      <c r="AE66" s="40">
        <f>Datengrundlage!$C$106*AE17</f>
        <v>185625</v>
      </c>
      <c r="AF66" s="40">
        <f>Datengrundlage!$C$106*AF17</f>
        <v>191612.9032</v>
      </c>
      <c r="AG66" s="40">
        <f>Datengrundlage!$C$106*AG17</f>
        <v>197600.8065</v>
      </c>
      <c r="AH66" s="40">
        <f>Datengrundlage!$C$106*AH17</f>
        <v>203588.7097</v>
      </c>
      <c r="AI66" s="40">
        <f>Datengrundlage!$C$106*AI17</f>
        <v>209576.6129</v>
      </c>
      <c r="AJ66" s="40">
        <f>Datengrundlage!$C$106*AJ17</f>
        <v>215564.5161</v>
      </c>
      <c r="AK66" s="40">
        <f>Datengrundlage!$C$106*AK17</f>
        <v>221552.4194</v>
      </c>
      <c r="AL66" s="40">
        <f>Datengrundlage!$C$106*AL17</f>
        <v>227540.3226</v>
      </c>
      <c r="AM66" s="40">
        <f>Datengrundlage!$C$106*AM17</f>
        <v>233528.2258</v>
      </c>
      <c r="AN66" s="40">
        <f>Datengrundlage!$C$106*AN17</f>
        <v>239516.129</v>
      </c>
      <c r="AO66" s="40">
        <f>Datengrundlage!$C$106*AO17</f>
        <v>245504.0323</v>
      </c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</row>
    <row r="67" ht="15.75" customHeight="1">
      <c r="A67" s="1" t="s">
        <v>204</v>
      </c>
      <c r="B67" s="40">
        <f>B23/Datengrundlage!$C$126*Datengrundlage!$C$134</f>
        <v>5462.58712</v>
      </c>
      <c r="C67" s="55">
        <f>C23/Datengrundlage!$C$126*Datengrundlage!$C$134</f>
        <v>5462.58712</v>
      </c>
      <c r="D67" s="40">
        <f>D23/Datengrundlage!$C$126*Datengrundlage!$C$134</f>
        <v>5462.58712</v>
      </c>
      <c r="E67" s="40">
        <f>E23/Datengrundlage!$C$126*Datengrundlage!$C$134</f>
        <v>5462.58712</v>
      </c>
      <c r="F67" s="40">
        <f>F23/Datengrundlage!$C$126*Datengrundlage!$C$134</f>
        <v>5462.58712</v>
      </c>
      <c r="G67" s="55">
        <f>G23/Datengrundlage!$C$126*Datengrundlage!$C$134</f>
        <v>5462.58712</v>
      </c>
      <c r="H67" s="40">
        <f>H23/Datengrundlage!$C$126*Datengrundlage!$C$134</f>
        <v>5462.58712</v>
      </c>
      <c r="I67" s="40">
        <f>I23/Datengrundlage!$C$126*Datengrundlage!$C$134</f>
        <v>10925.17424</v>
      </c>
      <c r="J67" s="40">
        <f>J23/Datengrundlage!$C$126*Datengrundlage!$C$134</f>
        <v>10925.17424</v>
      </c>
      <c r="K67" s="56">
        <f>K23/Datengrundlage!$C$126*Datengrundlage!$C$134</f>
        <v>10925.17424</v>
      </c>
      <c r="L67" s="40">
        <f>L23/Datengrundlage!$C$126*Datengrundlage!$C$134</f>
        <v>10925.17424</v>
      </c>
      <c r="M67" s="40">
        <f>M23/Datengrundlage!$C$126*Datengrundlage!$C$134</f>
        <v>10925.17424</v>
      </c>
      <c r="N67" s="40">
        <f>N23/Datengrundlage!$C$126*Datengrundlage!$C$134</f>
        <v>10925.17424</v>
      </c>
      <c r="O67" s="40">
        <f>O23/Datengrundlage!$C$126*Datengrundlage!$C$134</f>
        <v>10925.17424</v>
      </c>
      <c r="P67" s="40">
        <f>P23/Datengrundlage!$C$126*Datengrundlage!$C$134</f>
        <v>10925.17424</v>
      </c>
      <c r="Q67" s="40">
        <f>Q23/Datengrundlage!$C$126*Datengrundlage!$C$134</f>
        <v>10925.17424</v>
      </c>
      <c r="R67" s="40">
        <f>R23/Datengrundlage!$C$126*Datengrundlage!$C$134</f>
        <v>16387.76136</v>
      </c>
      <c r="S67" s="40">
        <f>S23/Datengrundlage!$C$126*Datengrundlage!$C$134</f>
        <v>16387.76136</v>
      </c>
      <c r="T67" s="40">
        <f>T23/Datengrundlage!$C$126*Datengrundlage!$C$134</f>
        <v>16387.76136</v>
      </c>
      <c r="U67" s="40">
        <f>U23/Datengrundlage!$C$126*Datengrundlage!$C$134</f>
        <v>16387.76136</v>
      </c>
      <c r="V67" s="40">
        <f>V23/Datengrundlage!$C$126*Datengrundlage!$C$134</f>
        <v>16387.76136</v>
      </c>
      <c r="W67" s="40">
        <f>W23/Datengrundlage!$C$126*Datengrundlage!$C$134</f>
        <v>16387.76136</v>
      </c>
      <c r="X67" s="40">
        <f>X23/Datengrundlage!$C$126*Datengrundlage!$C$134</f>
        <v>16387.76136</v>
      </c>
      <c r="Y67" s="40">
        <f>Y23/Datengrundlage!$C$126*Datengrundlage!$C$134</f>
        <v>21850.34848</v>
      </c>
      <c r="Z67" s="40">
        <f>Z23/Datengrundlage!$C$126*Datengrundlage!$C$134</f>
        <v>21850.34848</v>
      </c>
      <c r="AA67" s="40">
        <f>AA23/Datengrundlage!$C$126*Datengrundlage!$C$134</f>
        <v>21850.34848</v>
      </c>
      <c r="AB67" s="40">
        <f>AB23/Datengrundlage!$C$126*Datengrundlage!$C$134</f>
        <v>21850.34848</v>
      </c>
      <c r="AC67" s="40">
        <f>AC23/Datengrundlage!$C$126*Datengrundlage!$C$134</f>
        <v>21850.34848</v>
      </c>
      <c r="AD67" s="40">
        <f>AD23/Datengrundlage!$C$126*Datengrundlage!$C$134</f>
        <v>21850.34848</v>
      </c>
      <c r="AE67" s="40">
        <f>AE23/Datengrundlage!$C$126*Datengrundlage!$C$134</f>
        <v>21850.34848</v>
      </c>
      <c r="AF67" s="40">
        <f>AF23/Datengrundlage!$C$126*Datengrundlage!$C$134</f>
        <v>21850.34848</v>
      </c>
      <c r="AG67" s="40">
        <f>AG23/Datengrundlage!$C$126*Datengrundlage!$C$134</f>
        <v>27312.9356</v>
      </c>
      <c r="AH67" s="40">
        <f>AH23/Datengrundlage!$C$126*Datengrundlage!$C$134</f>
        <v>27312.9356</v>
      </c>
      <c r="AI67" s="40">
        <f>AI23/Datengrundlage!$C$126*Datengrundlage!$C$134</f>
        <v>27312.9356</v>
      </c>
      <c r="AJ67" s="40">
        <f>AJ23/Datengrundlage!$C$126*Datengrundlage!$C$134</f>
        <v>27312.9356</v>
      </c>
      <c r="AK67" s="40">
        <f>AK23/Datengrundlage!$C$126*Datengrundlage!$C$134</f>
        <v>27312.9356</v>
      </c>
      <c r="AL67" s="40">
        <f>AL23/Datengrundlage!$C$126*Datengrundlage!$C$134</f>
        <v>27312.9356</v>
      </c>
      <c r="AM67" s="40">
        <f>AM23/Datengrundlage!$C$126*Datengrundlage!$C$134</f>
        <v>32775.52272</v>
      </c>
      <c r="AN67" s="40">
        <f>AN23/Datengrundlage!$C$126*Datengrundlage!$C$134</f>
        <v>32775.52272</v>
      </c>
      <c r="AO67" s="40">
        <f>AO23/Datengrundlage!$C$126*Datengrundlage!$C$134</f>
        <v>32775.52272</v>
      </c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</row>
    <row r="68" ht="15.75" customHeight="1">
      <c r="A68" s="1" t="s">
        <v>204</v>
      </c>
      <c r="B68" s="40">
        <f>B24/Datengrundlage!$C$126*Datengrundlage!$C$134</f>
        <v>3338.247684</v>
      </c>
      <c r="C68" s="55">
        <f>C24/Datengrundlage!$C$126*Datengrundlage!$C$134</f>
        <v>3338.247684</v>
      </c>
      <c r="D68" s="40">
        <f>D24/Datengrundlage!$C$126*Datengrundlage!$C$134</f>
        <v>3338.247684</v>
      </c>
      <c r="E68" s="40">
        <f>E24/Datengrundlage!$C$126*Datengrundlage!$C$134</f>
        <v>3338.247684</v>
      </c>
      <c r="F68" s="40">
        <f>F24/Datengrundlage!$C$126*Datengrundlage!$C$134</f>
        <v>3338.247684</v>
      </c>
      <c r="G68" s="55">
        <f>G24/Datengrundlage!$C$126*Datengrundlage!$C$134</f>
        <v>3338.247684</v>
      </c>
      <c r="H68" s="40">
        <f>H24/Datengrundlage!$C$126*Datengrundlage!$C$134</f>
        <v>3338.247684</v>
      </c>
      <c r="I68" s="40">
        <f>I24/Datengrundlage!$C$126*Datengrundlage!$C$134</f>
        <v>3338.247684</v>
      </c>
      <c r="J68" s="40">
        <f>J24/Datengrundlage!$C$126*Datengrundlage!$C$134</f>
        <v>3338.247684</v>
      </c>
      <c r="K68" s="56">
        <f>K24/Datengrundlage!$C$126*Datengrundlage!$C$134</f>
        <v>3338.247684</v>
      </c>
      <c r="L68" s="40">
        <f>L24/Datengrundlage!$C$126*Datengrundlage!$C$134</f>
        <v>3338.247684</v>
      </c>
      <c r="M68" s="40">
        <f>M24/Datengrundlage!$C$126*Datengrundlage!$C$134</f>
        <v>3338.247684</v>
      </c>
      <c r="N68" s="40">
        <f>N24/Datengrundlage!$C$126*Datengrundlage!$C$134</f>
        <v>3338.247684</v>
      </c>
      <c r="O68" s="40">
        <f>O24/Datengrundlage!$C$126*Datengrundlage!$C$134</f>
        <v>3338.247684</v>
      </c>
      <c r="P68" s="40">
        <f>P24/Datengrundlage!$C$126*Datengrundlage!$C$134</f>
        <v>3338.247684</v>
      </c>
      <c r="Q68" s="40">
        <f>Q24/Datengrundlage!$C$126*Datengrundlage!$C$134</f>
        <v>3338.247684</v>
      </c>
      <c r="R68" s="40">
        <f>R24/Datengrundlage!$C$126*Datengrundlage!$C$134</f>
        <v>3338.247684</v>
      </c>
      <c r="S68" s="40">
        <f>S24/Datengrundlage!$C$126*Datengrundlage!$C$134</f>
        <v>6676.495369</v>
      </c>
      <c r="T68" s="40">
        <f>T24/Datengrundlage!$C$126*Datengrundlage!$C$134</f>
        <v>6676.495369</v>
      </c>
      <c r="U68" s="40">
        <f>U24/Datengrundlage!$C$126*Datengrundlage!$C$134</f>
        <v>6676.495369</v>
      </c>
      <c r="V68" s="40">
        <f>V24/Datengrundlage!$C$126*Datengrundlage!$C$134</f>
        <v>6676.495369</v>
      </c>
      <c r="W68" s="40">
        <f>W24/Datengrundlage!$C$126*Datengrundlage!$C$134</f>
        <v>6676.495369</v>
      </c>
      <c r="X68" s="40">
        <f>X24/Datengrundlage!$C$126*Datengrundlage!$C$134</f>
        <v>6676.495369</v>
      </c>
      <c r="Y68" s="40">
        <f>Y24/Datengrundlage!$C$126*Datengrundlage!$C$134</f>
        <v>6676.495369</v>
      </c>
      <c r="Z68" s="40">
        <f>Z24/Datengrundlage!$C$126*Datengrundlage!$C$134</f>
        <v>6676.495369</v>
      </c>
      <c r="AA68" s="40">
        <f>AA24/Datengrundlage!$C$126*Datengrundlage!$C$134</f>
        <v>6676.495369</v>
      </c>
      <c r="AB68" s="40">
        <f>AB24/Datengrundlage!$C$126*Datengrundlage!$C$134</f>
        <v>6676.495369</v>
      </c>
      <c r="AC68" s="40">
        <f>AC24/Datengrundlage!$C$126*Datengrundlage!$C$134</f>
        <v>6676.495369</v>
      </c>
      <c r="AD68" s="40">
        <f>AD24/Datengrundlage!$C$126*Datengrundlage!$C$134</f>
        <v>6676.495369</v>
      </c>
      <c r="AE68" s="40">
        <f>AE24/Datengrundlage!$C$126*Datengrundlage!$C$134</f>
        <v>6676.495369</v>
      </c>
      <c r="AF68" s="40">
        <f>AF24/Datengrundlage!$C$126*Datengrundlage!$C$134</f>
        <v>6676.495369</v>
      </c>
      <c r="AG68" s="40">
        <f>AG24/Datengrundlage!$C$126*Datengrundlage!$C$134</f>
        <v>6676.495369</v>
      </c>
      <c r="AH68" s="40">
        <f>AH24/Datengrundlage!$C$126*Datengrundlage!$C$134</f>
        <v>6676.495369</v>
      </c>
      <c r="AI68" s="40">
        <f>AI24/Datengrundlage!$C$126*Datengrundlage!$C$134</f>
        <v>6676.495369</v>
      </c>
      <c r="AJ68" s="40">
        <f>AJ24/Datengrundlage!$C$126*Datengrundlage!$C$134</f>
        <v>6676.495369</v>
      </c>
      <c r="AK68" s="40">
        <f>AK24/Datengrundlage!$C$126*Datengrundlage!$C$134</f>
        <v>6676.495369</v>
      </c>
      <c r="AL68" s="40">
        <f>AL24/Datengrundlage!$C$126*Datengrundlage!$C$134</f>
        <v>6676.495369</v>
      </c>
      <c r="AM68" s="40">
        <f>AM24/Datengrundlage!$C$126*Datengrundlage!$C$134</f>
        <v>10014.74305</v>
      </c>
      <c r="AN68" s="40">
        <f>AN24/Datengrundlage!$C$126*Datengrundlage!$C$134</f>
        <v>10014.74305</v>
      </c>
      <c r="AO68" s="40">
        <f>AO24/Datengrundlage!$C$126*Datengrundlage!$C$134</f>
        <v>10014.74305</v>
      </c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</row>
    <row r="69" ht="15.75" customHeight="1">
      <c r="A69" s="1" t="s">
        <v>205</v>
      </c>
      <c r="B69" s="40">
        <f>B25/Datengrundlage!$C$109*Datengrundlage!$C$114</f>
        <v>1515.836713</v>
      </c>
      <c r="C69" s="55">
        <f>C25/Datengrundlage!$C$109*Datengrundlage!$C$114</f>
        <v>2273.755069</v>
      </c>
      <c r="D69" s="40">
        <f>D25/Datengrundlage!$C$109*Datengrundlage!$C$114</f>
        <v>3031.673426</v>
      </c>
      <c r="E69" s="40">
        <f>E25/Datengrundlage!$C$109*Datengrundlage!$C$114</f>
        <v>3789.591782</v>
      </c>
      <c r="F69" s="40">
        <f>F25/Datengrundlage!$C$109*Datengrundlage!$C$114</f>
        <v>4547.510139</v>
      </c>
      <c r="G69" s="55">
        <f>G25/Datengrundlage!$C$109*Datengrundlage!$C$114</f>
        <v>5305.428495</v>
      </c>
      <c r="H69" s="40">
        <f>H25/Datengrundlage!$C$109*Datengrundlage!$C$114</f>
        <v>6063.346852</v>
      </c>
      <c r="I69" s="40">
        <f>I25/Datengrundlage!$C$109*Datengrundlage!$C$114</f>
        <v>6821.265208</v>
      </c>
      <c r="J69" s="40">
        <f>J25/Datengrundlage!$C$109*Datengrundlage!$C$114</f>
        <v>7579.183565</v>
      </c>
      <c r="K69" s="56">
        <f>K25/Datengrundlage!$C$109*Datengrundlage!$C$114</f>
        <v>8337.101921</v>
      </c>
      <c r="L69" s="40">
        <f>L25/Datengrundlage!$C$109*Datengrundlage!$C$114</f>
        <v>9095.020278</v>
      </c>
      <c r="M69" s="40">
        <f>M25/Datengrundlage!$C$109*Datengrundlage!$C$114</f>
        <v>9852.938634</v>
      </c>
      <c r="N69" s="40">
        <f>N25/Datengrundlage!$C$109*Datengrundlage!$C$114</f>
        <v>10610.85699</v>
      </c>
      <c r="O69" s="40">
        <f>O25/Datengrundlage!$C$109*Datengrundlage!$C$114</f>
        <v>11368.77535</v>
      </c>
      <c r="P69" s="40">
        <f>P25/Datengrundlage!$C$109*Datengrundlage!$C$114</f>
        <v>12126.6937</v>
      </c>
      <c r="Q69" s="40">
        <f>Q25/Datengrundlage!$C$109*Datengrundlage!$C$114</f>
        <v>12884.61206</v>
      </c>
      <c r="R69" s="40">
        <f>R25/Datengrundlage!$C$109*Datengrundlage!$C$114</f>
        <v>13642.53042</v>
      </c>
      <c r="S69" s="40">
        <f>S25/Datengrundlage!$C$109*Datengrundlage!$C$114</f>
        <v>14400.44877</v>
      </c>
      <c r="T69" s="40">
        <f>T25/Datengrundlage!$C$109*Datengrundlage!$C$114</f>
        <v>15158.36713</v>
      </c>
      <c r="U69" s="40">
        <f>U25/Datengrundlage!$C$109*Datengrundlage!$C$114</f>
        <v>15916.28549</v>
      </c>
      <c r="V69" s="40">
        <f>V25/Datengrundlage!$C$109*Datengrundlage!$C$114</f>
        <v>16674.20384</v>
      </c>
      <c r="W69" s="40">
        <f>W25/Datengrundlage!$C$109*Datengrundlage!$C$114</f>
        <v>17432.1222</v>
      </c>
      <c r="X69" s="40">
        <f>X25/Datengrundlage!$C$109*Datengrundlage!$C$114</f>
        <v>18190.04056</v>
      </c>
      <c r="Y69" s="40">
        <f>Y25/Datengrundlage!$C$109*Datengrundlage!$C$114</f>
        <v>18947.95891</v>
      </c>
      <c r="Z69" s="40">
        <f>Z25/Datengrundlage!$C$109*Datengrundlage!$C$114</f>
        <v>19705.87727</v>
      </c>
      <c r="AA69" s="40">
        <f>AA25/Datengrundlage!$C$109*Datengrundlage!$C$114</f>
        <v>20463.79563</v>
      </c>
      <c r="AB69" s="40">
        <f>AB25/Datengrundlage!$C$109*Datengrundlage!$C$114</f>
        <v>21221.71398</v>
      </c>
      <c r="AC69" s="40">
        <f>AC25/Datengrundlage!$C$109*Datengrundlage!$C$114</f>
        <v>21979.63234</v>
      </c>
      <c r="AD69" s="40">
        <f>AD25/Datengrundlage!$C$109*Datengrundlage!$C$114</f>
        <v>22737.55069</v>
      </c>
      <c r="AE69" s="40">
        <f>AE25/Datengrundlage!$C$109*Datengrundlage!$C$114</f>
        <v>23495.46905</v>
      </c>
      <c r="AF69" s="40">
        <f>AF25/Datengrundlage!$C$109*Datengrundlage!$C$114</f>
        <v>24253.38741</v>
      </c>
      <c r="AG69" s="40">
        <f>AG25/Datengrundlage!$C$109*Datengrundlage!$C$114</f>
        <v>25011.30576</v>
      </c>
      <c r="AH69" s="40">
        <f>AH25/Datengrundlage!$C$109*Datengrundlage!$C$114</f>
        <v>25769.22412</v>
      </c>
      <c r="AI69" s="40">
        <f>AI25/Datengrundlage!$C$109*Datengrundlage!$C$114</f>
        <v>26527.14248</v>
      </c>
      <c r="AJ69" s="40">
        <f>AJ25/Datengrundlage!$C$109*Datengrundlage!$C$114</f>
        <v>27285.06083</v>
      </c>
      <c r="AK69" s="40">
        <f>AK25/Datengrundlage!$C$109*Datengrundlage!$C$114</f>
        <v>28042.97919</v>
      </c>
      <c r="AL69" s="40">
        <f>AL25/Datengrundlage!$C$109*Datengrundlage!$C$114</f>
        <v>28800.89755</v>
      </c>
      <c r="AM69" s="40">
        <f>AM25/Datengrundlage!$C$109*Datengrundlage!$C$114</f>
        <v>29558.8159</v>
      </c>
      <c r="AN69" s="40">
        <f>AN25/Datengrundlage!$C$109*Datengrundlage!$C$114</f>
        <v>30316.73426</v>
      </c>
      <c r="AO69" s="40">
        <f>AO25/Datengrundlage!$C$109*Datengrundlage!$C$114</f>
        <v>31074.65262</v>
      </c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</row>
    <row r="70" ht="15.75" customHeight="1">
      <c r="A70" s="1" t="s">
        <v>206</v>
      </c>
      <c r="B70" s="40">
        <f>B26/Datengrundlage!$C$147*Datengrundlage!$C$165</f>
        <v>11789.17051</v>
      </c>
      <c r="C70" s="55">
        <f>C26/Datengrundlage!$C$147*Datengrundlage!$C$165</f>
        <v>12177.99539</v>
      </c>
      <c r="D70" s="40">
        <f>D26/Datengrundlage!$C$147*Datengrundlage!$C$165</f>
        <v>12566.82028</v>
      </c>
      <c r="E70" s="40">
        <f>E26/Datengrundlage!$C$147*Datengrundlage!$C$165</f>
        <v>12955.64516</v>
      </c>
      <c r="F70" s="40">
        <f>F26/Datengrundlage!$C$147*Datengrundlage!$C$165</f>
        <v>13344.47005</v>
      </c>
      <c r="G70" s="55">
        <f>G26/Datengrundlage!$C$147*Datengrundlage!$C$165</f>
        <v>13733.29493</v>
      </c>
      <c r="H70" s="40">
        <f>H26/Datengrundlage!$C$147*Datengrundlage!$C$165</f>
        <v>14122.11982</v>
      </c>
      <c r="I70" s="40">
        <f>I26/Datengrundlage!$C$147*Datengrundlage!$C$165</f>
        <v>14510.9447</v>
      </c>
      <c r="J70" s="40">
        <f>J26/Datengrundlage!$C$147*Datengrundlage!$C$165</f>
        <v>14899.76959</v>
      </c>
      <c r="K70" s="56">
        <f>K26/Datengrundlage!$C$147*Datengrundlage!$C$165</f>
        <v>15288.59447</v>
      </c>
      <c r="L70" s="40">
        <f>L26/Datengrundlage!$C$147*Datengrundlage!$C$165</f>
        <v>15677.41935</v>
      </c>
      <c r="M70" s="40">
        <f>M26/Datengrundlage!$C$147*Datengrundlage!$C$165</f>
        <v>16066.24424</v>
      </c>
      <c r="N70" s="40">
        <f>N26/Datengrundlage!$C$147*Datengrundlage!$C$165</f>
        <v>16455.06912</v>
      </c>
      <c r="O70" s="40">
        <f>O26/Datengrundlage!$C$147*Datengrundlage!$C$165</f>
        <v>16843.89401</v>
      </c>
      <c r="P70" s="40">
        <f>P26/Datengrundlage!$C$147*Datengrundlage!$C$165</f>
        <v>17232.71889</v>
      </c>
      <c r="Q70" s="40">
        <f>Q26/Datengrundlage!$C$147*Datengrundlage!$C$165</f>
        <v>17621.54378</v>
      </c>
      <c r="R70" s="40">
        <f>R26/Datengrundlage!$C$147*Datengrundlage!$C$165</f>
        <v>18010.36866</v>
      </c>
      <c r="S70" s="40">
        <f>S26/Datengrundlage!$C$147*Datengrundlage!$C$165</f>
        <v>18399.19355</v>
      </c>
      <c r="T70" s="40">
        <f>T26/Datengrundlage!$C$147*Datengrundlage!$C$165</f>
        <v>18788.01843</v>
      </c>
      <c r="U70" s="40">
        <f>U26/Datengrundlage!$C$147*Datengrundlage!$C$165</f>
        <v>19176.84332</v>
      </c>
      <c r="V70" s="40">
        <f>V26/Datengrundlage!$C$147*Datengrundlage!$C$165</f>
        <v>19565.6682</v>
      </c>
      <c r="W70" s="40">
        <f>W26/Datengrundlage!$C$147*Datengrundlage!$C$165</f>
        <v>19954.49309</v>
      </c>
      <c r="X70" s="40">
        <f>X26/Datengrundlage!$C$147*Datengrundlage!$C$165</f>
        <v>20343.31797</v>
      </c>
      <c r="Y70" s="40">
        <f>Y26/Datengrundlage!$C$147*Datengrundlage!$C$165</f>
        <v>20732.14286</v>
      </c>
      <c r="Z70" s="40">
        <f>Z26/Datengrundlage!$C$147*Datengrundlage!$C$165</f>
        <v>21120.96774</v>
      </c>
      <c r="AA70" s="40">
        <f>AA26/Datengrundlage!$C$147*Datengrundlage!$C$165</f>
        <v>21509.79263</v>
      </c>
      <c r="AB70" s="40">
        <f>AB26/Datengrundlage!$C$147*Datengrundlage!$C$165</f>
        <v>21898.61751</v>
      </c>
      <c r="AC70" s="40">
        <f>AC26/Datengrundlage!$C$147*Datengrundlage!$C$165</f>
        <v>22287.4424</v>
      </c>
      <c r="AD70" s="40">
        <f>AD26/Datengrundlage!$C$147*Datengrundlage!$C$165</f>
        <v>22676.26728</v>
      </c>
      <c r="AE70" s="40">
        <f>AE26/Datengrundlage!$C$147*Datengrundlage!$C$165</f>
        <v>23065.09217</v>
      </c>
      <c r="AF70" s="40">
        <f>AF26/Datengrundlage!$C$147*Datengrundlage!$C$165</f>
        <v>23453.91705</v>
      </c>
      <c r="AG70" s="40">
        <f>AG26/Datengrundlage!$C$147*Datengrundlage!$C$165</f>
        <v>23842.74194</v>
      </c>
      <c r="AH70" s="40">
        <f>AH26/Datengrundlage!$C$147*Datengrundlage!$C$165</f>
        <v>24231.56682</v>
      </c>
      <c r="AI70" s="40">
        <f>AI26/Datengrundlage!$C$147*Datengrundlage!$C$165</f>
        <v>24620.39171</v>
      </c>
      <c r="AJ70" s="40">
        <f>AJ26/Datengrundlage!$C$147*Datengrundlage!$C$165</f>
        <v>25009.21659</v>
      </c>
      <c r="AK70" s="40">
        <f>AK26/Datengrundlage!$C$147*Datengrundlage!$C$165</f>
        <v>25398.04147</v>
      </c>
      <c r="AL70" s="40">
        <f>AL26/Datengrundlage!$C$147*Datengrundlage!$C$165</f>
        <v>25786.86636</v>
      </c>
      <c r="AM70" s="40">
        <f>AM26/Datengrundlage!$C$147*Datengrundlage!$C$165</f>
        <v>26175.69124</v>
      </c>
      <c r="AN70" s="40">
        <f>AN26/Datengrundlage!$C$147*Datengrundlage!$C$165</f>
        <v>26564.51613</v>
      </c>
      <c r="AO70" s="40">
        <f>AO26/Datengrundlage!$C$147*Datengrundlage!$C$165</f>
        <v>26953.34101</v>
      </c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</row>
    <row r="71" ht="15.75" customHeight="1">
      <c r="A71" s="54" t="s">
        <v>207</v>
      </c>
      <c r="B71" s="40">
        <v>350.0</v>
      </c>
      <c r="C71" s="55">
        <v>350.0</v>
      </c>
      <c r="D71" s="40">
        <v>350.0</v>
      </c>
      <c r="E71" s="40">
        <v>350.0</v>
      </c>
      <c r="F71" s="40">
        <v>350.0</v>
      </c>
      <c r="G71" s="55">
        <v>350.0</v>
      </c>
      <c r="H71" s="40">
        <v>350.0</v>
      </c>
      <c r="I71" s="40">
        <v>350.0</v>
      </c>
      <c r="J71" s="40">
        <v>350.0</v>
      </c>
      <c r="K71" s="56">
        <v>350.0</v>
      </c>
      <c r="L71" s="40">
        <v>350.0</v>
      </c>
      <c r="M71" s="40">
        <v>350.0</v>
      </c>
      <c r="N71" s="40">
        <v>350.0</v>
      </c>
      <c r="O71" s="40">
        <v>350.0</v>
      </c>
      <c r="P71" s="40">
        <v>350.0</v>
      </c>
      <c r="Q71" s="40">
        <v>350.0</v>
      </c>
      <c r="R71" s="40">
        <v>350.0</v>
      </c>
      <c r="S71" s="40">
        <v>350.0</v>
      </c>
      <c r="T71" s="40">
        <v>350.0</v>
      </c>
      <c r="U71" s="40">
        <v>350.0</v>
      </c>
      <c r="V71" s="40">
        <v>350.0</v>
      </c>
      <c r="W71" s="40">
        <v>350.0</v>
      </c>
      <c r="X71" s="40">
        <v>350.0</v>
      </c>
      <c r="Y71" s="40">
        <v>350.0</v>
      </c>
      <c r="Z71" s="40">
        <v>350.0</v>
      </c>
      <c r="AA71" s="40">
        <v>350.0</v>
      </c>
      <c r="AB71" s="40">
        <v>350.0</v>
      </c>
      <c r="AC71" s="40">
        <v>350.0</v>
      </c>
      <c r="AD71" s="40">
        <v>350.0</v>
      </c>
      <c r="AE71" s="40">
        <v>350.0</v>
      </c>
      <c r="AF71" s="40">
        <v>350.0</v>
      </c>
      <c r="AG71" s="40">
        <v>350.0</v>
      </c>
      <c r="AH71" s="40">
        <v>350.0</v>
      </c>
      <c r="AI71" s="40">
        <v>350.0</v>
      </c>
      <c r="AJ71" s="40">
        <v>350.0</v>
      </c>
      <c r="AK71" s="40">
        <v>350.0</v>
      </c>
      <c r="AL71" s="40">
        <v>350.0</v>
      </c>
      <c r="AM71" s="40">
        <v>350.0</v>
      </c>
      <c r="AN71" s="40">
        <v>350.0</v>
      </c>
      <c r="AO71" s="40">
        <v>350.0</v>
      </c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</row>
    <row r="72" ht="15.75" customHeight="1">
      <c r="A72" s="5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</row>
    <row r="74" ht="15.75" customHeight="1">
      <c r="A74" s="5" t="s">
        <v>208</v>
      </c>
      <c r="B74" s="40">
        <f t="shared" ref="B74:AO74" si="13">SUM(B75:B98)</f>
        <v>11649.44027</v>
      </c>
      <c r="C74" s="40">
        <f t="shared" si="13"/>
        <v>12345.06326</v>
      </c>
      <c r="D74" s="40">
        <f t="shared" si="13"/>
        <v>13040.68624</v>
      </c>
      <c r="E74" s="40">
        <f t="shared" si="13"/>
        <v>13736.30922</v>
      </c>
      <c r="F74" s="40">
        <f t="shared" si="13"/>
        <v>14431.93221</v>
      </c>
      <c r="G74" s="40">
        <f t="shared" si="13"/>
        <v>15127.55519</v>
      </c>
      <c r="H74" s="40">
        <f t="shared" si="13"/>
        <v>15823.17818</v>
      </c>
      <c r="I74" s="40">
        <f t="shared" si="13"/>
        <v>17702.26506</v>
      </c>
      <c r="J74" s="40">
        <f t="shared" si="13"/>
        <v>18470.14867</v>
      </c>
      <c r="K74" s="41">
        <f t="shared" si="13"/>
        <v>19238.03228</v>
      </c>
      <c r="L74" s="40">
        <f t="shared" si="13"/>
        <v>20005.91589</v>
      </c>
      <c r="M74" s="40">
        <f t="shared" si="13"/>
        <v>20773.7995</v>
      </c>
      <c r="N74" s="40">
        <f t="shared" si="13"/>
        <v>21541.6831</v>
      </c>
      <c r="O74" s="40">
        <f t="shared" si="13"/>
        <v>22309.56671</v>
      </c>
      <c r="P74" s="40">
        <f t="shared" si="13"/>
        <v>23077.45032</v>
      </c>
      <c r="Q74" s="40">
        <f t="shared" si="13"/>
        <v>23845.33393</v>
      </c>
      <c r="R74" s="40">
        <f t="shared" si="13"/>
        <v>24926.21293</v>
      </c>
      <c r="S74" s="40">
        <f t="shared" si="13"/>
        <v>26550.45887</v>
      </c>
      <c r="T74" s="40">
        <f t="shared" si="13"/>
        <v>27345.44021</v>
      </c>
      <c r="U74" s="40">
        <f t="shared" si="13"/>
        <v>28140.42155</v>
      </c>
      <c r="V74" s="40">
        <f t="shared" si="13"/>
        <v>28935.40289</v>
      </c>
      <c r="W74" s="40">
        <f t="shared" si="13"/>
        <v>29730.38424</v>
      </c>
      <c r="X74" s="40">
        <f t="shared" si="13"/>
        <v>30525.36558</v>
      </c>
      <c r="Y74" s="40">
        <f t="shared" si="13"/>
        <v>31659.26397</v>
      </c>
      <c r="Z74" s="40">
        <f t="shared" si="13"/>
        <v>32454.24532</v>
      </c>
      <c r="AA74" s="40">
        <f t="shared" si="13"/>
        <v>33249.22666</v>
      </c>
      <c r="AB74" s="40">
        <f t="shared" si="13"/>
        <v>34044.208</v>
      </c>
      <c r="AC74" s="40">
        <f t="shared" si="13"/>
        <v>34839.18934</v>
      </c>
      <c r="AD74" s="40">
        <f t="shared" si="13"/>
        <v>35634.17069</v>
      </c>
      <c r="AE74" s="40">
        <f t="shared" si="13"/>
        <v>36429.15203</v>
      </c>
      <c r="AF74" s="40">
        <f t="shared" si="13"/>
        <v>37224.13337</v>
      </c>
      <c r="AG74" s="40">
        <f t="shared" si="13"/>
        <v>38358.03177</v>
      </c>
      <c r="AH74" s="40">
        <f t="shared" si="13"/>
        <v>39153.01311</v>
      </c>
      <c r="AI74" s="40">
        <f t="shared" si="13"/>
        <v>39947.99445</v>
      </c>
      <c r="AJ74" s="40">
        <f t="shared" si="13"/>
        <v>40742.97579</v>
      </c>
      <c r="AK74" s="40">
        <f t="shared" si="13"/>
        <v>41537.95714</v>
      </c>
      <c r="AL74" s="40">
        <f t="shared" si="13"/>
        <v>42332.93848</v>
      </c>
      <c r="AM74" s="40">
        <f t="shared" si="13"/>
        <v>43673.95285</v>
      </c>
      <c r="AN74" s="40">
        <f t="shared" si="13"/>
        <v>44468.93419</v>
      </c>
      <c r="AO74" s="40">
        <f t="shared" si="13"/>
        <v>45263.91553</v>
      </c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ht="15.75" customHeight="1">
      <c r="A75" s="57" t="s">
        <v>209</v>
      </c>
      <c r="B75" s="40">
        <f>Datengrundlage!$C$34</f>
        <v>840</v>
      </c>
      <c r="C75" s="40">
        <f>Datengrundlage!$C$34</f>
        <v>840</v>
      </c>
      <c r="D75" s="40">
        <f>Datengrundlage!$C$34</f>
        <v>840</v>
      </c>
      <c r="E75" s="40">
        <f>Datengrundlage!$C$34</f>
        <v>840</v>
      </c>
      <c r="F75" s="40">
        <f>Datengrundlage!$C$34</f>
        <v>840</v>
      </c>
      <c r="G75" s="40">
        <f>Datengrundlage!$C$34</f>
        <v>840</v>
      </c>
      <c r="H75" s="40">
        <f>Datengrundlage!$C$34</f>
        <v>840</v>
      </c>
      <c r="I75" s="40">
        <f>Datengrundlage!$C$34</f>
        <v>840</v>
      </c>
      <c r="J75" s="40">
        <f>Datengrundlage!$C$34</f>
        <v>840</v>
      </c>
      <c r="K75" s="40">
        <f>Datengrundlage!$C$34</f>
        <v>840</v>
      </c>
      <c r="L75" s="40">
        <f>Datengrundlage!$C$34</f>
        <v>840</v>
      </c>
      <c r="M75" s="40">
        <f>Datengrundlage!$C$34</f>
        <v>840</v>
      </c>
      <c r="N75" s="40">
        <f>Datengrundlage!$C$34</f>
        <v>840</v>
      </c>
      <c r="O75" s="40">
        <f>Datengrundlage!$C$34</f>
        <v>840</v>
      </c>
      <c r="P75" s="40">
        <f>Datengrundlage!$C$34</f>
        <v>840</v>
      </c>
      <c r="Q75" s="40">
        <f>Datengrundlage!$C$34</f>
        <v>840</v>
      </c>
      <c r="R75" s="40">
        <f>Datengrundlage!$C$34</f>
        <v>840</v>
      </c>
      <c r="S75" s="40">
        <f>Datengrundlage!$C$34</f>
        <v>840</v>
      </c>
      <c r="T75" s="40">
        <f>Datengrundlage!$C$34</f>
        <v>840</v>
      </c>
      <c r="U75" s="40">
        <f>Datengrundlage!$C$34</f>
        <v>840</v>
      </c>
      <c r="V75" s="40">
        <f>Datengrundlage!$C$34</f>
        <v>840</v>
      </c>
      <c r="W75" s="40">
        <f>Datengrundlage!$C$34</f>
        <v>840</v>
      </c>
      <c r="X75" s="40">
        <f>Datengrundlage!$C$34</f>
        <v>840</v>
      </c>
      <c r="Y75" s="40">
        <f>Datengrundlage!$C$34</f>
        <v>840</v>
      </c>
      <c r="Z75" s="40">
        <f>Datengrundlage!$C$34</f>
        <v>840</v>
      </c>
      <c r="AA75" s="40">
        <f>Datengrundlage!$C$34</f>
        <v>840</v>
      </c>
      <c r="AB75" s="40">
        <f>Datengrundlage!$C$34</f>
        <v>840</v>
      </c>
      <c r="AC75" s="40">
        <f>Datengrundlage!$C$34</f>
        <v>840</v>
      </c>
      <c r="AD75" s="40">
        <f>Datengrundlage!$C$34</f>
        <v>840</v>
      </c>
      <c r="AE75" s="40">
        <f>Datengrundlage!$C$34</f>
        <v>840</v>
      </c>
      <c r="AF75" s="40">
        <f>Datengrundlage!$C$34</f>
        <v>840</v>
      </c>
      <c r="AG75" s="40">
        <f>Datengrundlage!$C$34</f>
        <v>840</v>
      </c>
      <c r="AH75" s="40">
        <f>Datengrundlage!$C$34</f>
        <v>840</v>
      </c>
      <c r="AI75" s="40">
        <f>Datengrundlage!$C$34</f>
        <v>840</v>
      </c>
      <c r="AJ75" s="40">
        <f>Datengrundlage!$C$34</f>
        <v>840</v>
      </c>
      <c r="AK75" s="40">
        <f>Datengrundlage!$C$34</f>
        <v>840</v>
      </c>
      <c r="AL75" s="40">
        <f>Datengrundlage!$C$34</f>
        <v>840</v>
      </c>
      <c r="AM75" s="40">
        <f>Datengrundlage!$C$34</f>
        <v>840</v>
      </c>
      <c r="AN75" s="40">
        <f>Datengrundlage!$C$34</f>
        <v>840</v>
      </c>
      <c r="AO75" s="40">
        <f>Datengrundlage!$C$34</f>
        <v>840</v>
      </c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</row>
    <row r="76" ht="15.75" customHeight="1">
      <c r="A76" s="57" t="s">
        <v>210</v>
      </c>
      <c r="B76" s="40"/>
      <c r="C76" s="40"/>
      <c r="D76" s="40"/>
      <c r="E76" s="40"/>
      <c r="F76" s="40"/>
      <c r="G76" s="40"/>
      <c r="H76" s="40"/>
      <c r="I76" s="40">
        <f t="shared" ref="I76:AO76" si="14">I16/0.75*200</f>
        <v>939.5929339</v>
      </c>
      <c r="J76" s="40">
        <f t="shared" si="14"/>
        <v>1011.853559</v>
      </c>
      <c r="K76" s="40">
        <f t="shared" si="14"/>
        <v>1084.114183</v>
      </c>
      <c r="L76" s="40">
        <f t="shared" si="14"/>
        <v>1156.374808</v>
      </c>
      <c r="M76" s="40">
        <f t="shared" si="14"/>
        <v>1228.635433</v>
      </c>
      <c r="N76" s="40">
        <f t="shared" si="14"/>
        <v>1300.896057</v>
      </c>
      <c r="O76" s="40">
        <f t="shared" si="14"/>
        <v>1373.156682</v>
      </c>
      <c r="P76" s="40">
        <f t="shared" si="14"/>
        <v>1445.417307</v>
      </c>
      <c r="Q76" s="40">
        <f t="shared" si="14"/>
        <v>1517.677931</v>
      </c>
      <c r="R76" s="40">
        <f t="shared" si="14"/>
        <v>1659.06298</v>
      </c>
      <c r="S76" s="40">
        <f t="shared" si="14"/>
        <v>1773.566308</v>
      </c>
      <c r="T76" s="40">
        <f t="shared" si="14"/>
        <v>1845.826933</v>
      </c>
      <c r="U76" s="40">
        <f t="shared" si="14"/>
        <v>1918.087558</v>
      </c>
      <c r="V76" s="40">
        <f t="shared" si="14"/>
        <v>1990.348182</v>
      </c>
      <c r="W76" s="40">
        <f t="shared" si="14"/>
        <v>2062.608807</v>
      </c>
      <c r="X76" s="40">
        <f t="shared" si="14"/>
        <v>2134.869432</v>
      </c>
      <c r="Y76" s="40">
        <f t="shared" si="14"/>
        <v>2276.25448</v>
      </c>
      <c r="Z76" s="40">
        <f t="shared" si="14"/>
        <v>2348.515105</v>
      </c>
      <c r="AA76" s="40">
        <f t="shared" si="14"/>
        <v>2420.77573</v>
      </c>
      <c r="AB76" s="40">
        <f t="shared" si="14"/>
        <v>2493.036354</v>
      </c>
      <c r="AC76" s="40">
        <f t="shared" si="14"/>
        <v>2565.296979</v>
      </c>
      <c r="AD76" s="40">
        <f t="shared" si="14"/>
        <v>2637.557604</v>
      </c>
      <c r="AE76" s="40">
        <f t="shared" si="14"/>
        <v>2709.818228</v>
      </c>
      <c r="AF76" s="40">
        <f t="shared" si="14"/>
        <v>2782.078853</v>
      </c>
      <c r="AG76" s="40">
        <f t="shared" si="14"/>
        <v>2923.463902</v>
      </c>
      <c r="AH76" s="40">
        <f t="shared" si="14"/>
        <v>2995.724526</v>
      </c>
      <c r="AI76" s="40">
        <f t="shared" si="14"/>
        <v>3067.985151</v>
      </c>
      <c r="AJ76" s="40">
        <f t="shared" si="14"/>
        <v>3140.245776</v>
      </c>
      <c r="AK76" s="40">
        <f t="shared" si="14"/>
        <v>3212.5064</v>
      </c>
      <c r="AL76" s="40">
        <f t="shared" si="14"/>
        <v>3284.767025</v>
      </c>
      <c r="AM76" s="40">
        <f t="shared" si="14"/>
        <v>3468.394777</v>
      </c>
      <c r="AN76" s="40">
        <f t="shared" si="14"/>
        <v>3540.655402</v>
      </c>
      <c r="AO76" s="40">
        <f t="shared" si="14"/>
        <v>3612.916027</v>
      </c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</row>
    <row r="77" ht="15.75" customHeight="1">
      <c r="A77" s="57" t="s">
        <v>211</v>
      </c>
      <c r="B77" s="40">
        <f t="shared" ref="B77:AO77" si="15">270/1.19</f>
        <v>226.8907563</v>
      </c>
      <c r="C77" s="40">
        <f t="shared" si="15"/>
        <v>226.8907563</v>
      </c>
      <c r="D77" s="40">
        <f t="shared" si="15"/>
        <v>226.8907563</v>
      </c>
      <c r="E77" s="40">
        <f t="shared" si="15"/>
        <v>226.8907563</v>
      </c>
      <c r="F77" s="40">
        <f t="shared" si="15"/>
        <v>226.8907563</v>
      </c>
      <c r="G77" s="40">
        <f t="shared" si="15"/>
        <v>226.8907563</v>
      </c>
      <c r="H77" s="40">
        <f t="shared" si="15"/>
        <v>226.8907563</v>
      </c>
      <c r="I77" s="40">
        <f t="shared" si="15"/>
        <v>226.8907563</v>
      </c>
      <c r="J77" s="40">
        <f t="shared" si="15"/>
        <v>226.8907563</v>
      </c>
      <c r="K77" s="40">
        <f t="shared" si="15"/>
        <v>226.8907563</v>
      </c>
      <c r="L77" s="40">
        <f t="shared" si="15"/>
        <v>226.8907563</v>
      </c>
      <c r="M77" s="40">
        <f t="shared" si="15"/>
        <v>226.8907563</v>
      </c>
      <c r="N77" s="40">
        <f t="shared" si="15"/>
        <v>226.8907563</v>
      </c>
      <c r="O77" s="40">
        <f t="shared" si="15"/>
        <v>226.8907563</v>
      </c>
      <c r="P77" s="40">
        <f t="shared" si="15"/>
        <v>226.8907563</v>
      </c>
      <c r="Q77" s="40">
        <f t="shared" si="15"/>
        <v>226.8907563</v>
      </c>
      <c r="R77" s="40">
        <f t="shared" si="15"/>
        <v>226.8907563</v>
      </c>
      <c r="S77" s="40">
        <f t="shared" si="15"/>
        <v>226.8907563</v>
      </c>
      <c r="T77" s="40">
        <f t="shared" si="15"/>
        <v>226.8907563</v>
      </c>
      <c r="U77" s="40">
        <f t="shared" si="15"/>
        <v>226.8907563</v>
      </c>
      <c r="V77" s="40">
        <f t="shared" si="15"/>
        <v>226.8907563</v>
      </c>
      <c r="W77" s="40">
        <f t="shared" si="15"/>
        <v>226.8907563</v>
      </c>
      <c r="X77" s="40">
        <f t="shared" si="15"/>
        <v>226.8907563</v>
      </c>
      <c r="Y77" s="40">
        <f t="shared" si="15"/>
        <v>226.8907563</v>
      </c>
      <c r="Z77" s="40">
        <f t="shared" si="15"/>
        <v>226.8907563</v>
      </c>
      <c r="AA77" s="40">
        <f t="shared" si="15"/>
        <v>226.8907563</v>
      </c>
      <c r="AB77" s="40">
        <f t="shared" si="15"/>
        <v>226.8907563</v>
      </c>
      <c r="AC77" s="40">
        <f t="shared" si="15"/>
        <v>226.8907563</v>
      </c>
      <c r="AD77" s="40">
        <f t="shared" si="15"/>
        <v>226.8907563</v>
      </c>
      <c r="AE77" s="40">
        <f t="shared" si="15"/>
        <v>226.8907563</v>
      </c>
      <c r="AF77" s="40">
        <f t="shared" si="15"/>
        <v>226.8907563</v>
      </c>
      <c r="AG77" s="40">
        <f t="shared" si="15"/>
        <v>226.8907563</v>
      </c>
      <c r="AH77" s="40">
        <f t="shared" si="15"/>
        <v>226.8907563</v>
      </c>
      <c r="AI77" s="40">
        <f t="shared" si="15"/>
        <v>226.8907563</v>
      </c>
      <c r="AJ77" s="40">
        <f t="shared" si="15"/>
        <v>226.8907563</v>
      </c>
      <c r="AK77" s="40">
        <f t="shared" si="15"/>
        <v>226.8907563</v>
      </c>
      <c r="AL77" s="40">
        <f t="shared" si="15"/>
        <v>226.8907563</v>
      </c>
      <c r="AM77" s="40">
        <f t="shared" si="15"/>
        <v>226.8907563</v>
      </c>
      <c r="AN77" s="40">
        <f t="shared" si="15"/>
        <v>226.8907563</v>
      </c>
      <c r="AO77" s="40">
        <f t="shared" si="15"/>
        <v>226.8907563</v>
      </c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</row>
    <row r="78" ht="15.75" customHeight="1">
      <c r="A78" s="57" t="s">
        <v>212</v>
      </c>
      <c r="B78" s="40">
        <f t="shared" ref="B78:AO78" si="16">(B11*7000*0.015)+(B12*4000*0.005)</f>
        <v>18.375</v>
      </c>
      <c r="C78" s="40">
        <f t="shared" si="16"/>
        <v>27.5625</v>
      </c>
      <c r="D78" s="40">
        <f t="shared" si="16"/>
        <v>36.75</v>
      </c>
      <c r="E78" s="40">
        <f t="shared" si="16"/>
        <v>45.9375</v>
      </c>
      <c r="F78" s="40">
        <f t="shared" si="16"/>
        <v>55.125</v>
      </c>
      <c r="G78" s="40">
        <f t="shared" si="16"/>
        <v>64.3125</v>
      </c>
      <c r="H78" s="40">
        <f t="shared" si="16"/>
        <v>73.5</v>
      </c>
      <c r="I78" s="40">
        <f t="shared" si="16"/>
        <v>82.6875</v>
      </c>
      <c r="J78" s="40">
        <f t="shared" si="16"/>
        <v>91.875</v>
      </c>
      <c r="K78" s="40">
        <f t="shared" si="16"/>
        <v>101.0625</v>
      </c>
      <c r="L78" s="40">
        <f t="shared" si="16"/>
        <v>110.25</v>
      </c>
      <c r="M78" s="40">
        <f t="shared" si="16"/>
        <v>119.4375</v>
      </c>
      <c r="N78" s="40">
        <f t="shared" si="16"/>
        <v>128.625</v>
      </c>
      <c r="O78" s="40">
        <f t="shared" si="16"/>
        <v>137.8125</v>
      </c>
      <c r="P78" s="40">
        <f t="shared" si="16"/>
        <v>147</v>
      </c>
      <c r="Q78" s="40">
        <f t="shared" si="16"/>
        <v>156.1875</v>
      </c>
      <c r="R78" s="40">
        <f t="shared" si="16"/>
        <v>165.375</v>
      </c>
      <c r="S78" s="40">
        <f t="shared" si="16"/>
        <v>174.5625</v>
      </c>
      <c r="T78" s="40">
        <f t="shared" si="16"/>
        <v>183.75</v>
      </c>
      <c r="U78" s="40">
        <f t="shared" si="16"/>
        <v>192.9375</v>
      </c>
      <c r="V78" s="40">
        <f t="shared" si="16"/>
        <v>202.125</v>
      </c>
      <c r="W78" s="40">
        <f t="shared" si="16"/>
        <v>211.3125</v>
      </c>
      <c r="X78" s="40">
        <f t="shared" si="16"/>
        <v>220.5</v>
      </c>
      <c r="Y78" s="40">
        <f t="shared" si="16"/>
        <v>229.6875</v>
      </c>
      <c r="Z78" s="40">
        <f t="shared" si="16"/>
        <v>238.875</v>
      </c>
      <c r="AA78" s="40">
        <f t="shared" si="16"/>
        <v>248.0625</v>
      </c>
      <c r="AB78" s="40">
        <f t="shared" si="16"/>
        <v>257.25</v>
      </c>
      <c r="AC78" s="40">
        <f t="shared" si="16"/>
        <v>266.4375</v>
      </c>
      <c r="AD78" s="40">
        <f t="shared" si="16"/>
        <v>275.625</v>
      </c>
      <c r="AE78" s="40">
        <f t="shared" si="16"/>
        <v>284.8125</v>
      </c>
      <c r="AF78" s="40">
        <f t="shared" si="16"/>
        <v>294</v>
      </c>
      <c r="AG78" s="40">
        <f t="shared" si="16"/>
        <v>303.1875</v>
      </c>
      <c r="AH78" s="40">
        <f t="shared" si="16"/>
        <v>312.375</v>
      </c>
      <c r="AI78" s="40">
        <f t="shared" si="16"/>
        <v>321.5625</v>
      </c>
      <c r="AJ78" s="40">
        <f t="shared" si="16"/>
        <v>330.75</v>
      </c>
      <c r="AK78" s="40">
        <f t="shared" si="16"/>
        <v>339.9375</v>
      </c>
      <c r="AL78" s="40">
        <f t="shared" si="16"/>
        <v>349.125</v>
      </c>
      <c r="AM78" s="40">
        <f t="shared" si="16"/>
        <v>358.3125</v>
      </c>
      <c r="AN78" s="40">
        <f t="shared" si="16"/>
        <v>367.5</v>
      </c>
      <c r="AO78" s="40">
        <f t="shared" si="16"/>
        <v>376.6875</v>
      </c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</row>
    <row r="79" ht="30.0" customHeight="1">
      <c r="A79" s="57" t="s">
        <v>213</v>
      </c>
      <c r="B79" s="40">
        <v>371.57</v>
      </c>
      <c r="C79" s="40">
        <v>371.57</v>
      </c>
      <c r="D79" s="40">
        <v>371.57</v>
      </c>
      <c r="E79" s="40">
        <v>371.57</v>
      </c>
      <c r="F79" s="40">
        <v>371.57</v>
      </c>
      <c r="G79" s="40">
        <v>371.57</v>
      </c>
      <c r="H79" s="40">
        <v>371.57</v>
      </c>
      <c r="I79" s="40">
        <v>371.57</v>
      </c>
      <c r="J79" s="40">
        <v>371.569999999999</v>
      </c>
      <c r="K79" s="40">
        <v>371.569999999999</v>
      </c>
      <c r="L79" s="40">
        <v>371.569999999999</v>
      </c>
      <c r="M79" s="40">
        <v>371.569999999999</v>
      </c>
      <c r="N79" s="40">
        <v>371.569999999999</v>
      </c>
      <c r="O79" s="40">
        <v>371.569999999999</v>
      </c>
      <c r="P79" s="40">
        <v>371.569999999999</v>
      </c>
      <c r="Q79" s="40">
        <v>371.569999999999</v>
      </c>
      <c r="R79" s="40">
        <v>371.569999999999</v>
      </c>
      <c r="S79" s="40">
        <v>371.569999999999</v>
      </c>
      <c r="T79" s="40">
        <v>371.569999999999</v>
      </c>
      <c r="U79" s="40">
        <v>371.569999999999</v>
      </c>
      <c r="V79" s="40">
        <v>371.569999999999</v>
      </c>
      <c r="W79" s="40">
        <v>371.569999999998</v>
      </c>
      <c r="X79" s="40">
        <v>371.569999999998</v>
      </c>
      <c r="Y79" s="40">
        <v>371.569999999998</v>
      </c>
      <c r="Z79" s="40">
        <v>371.569999999998</v>
      </c>
      <c r="AA79" s="40">
        <v>371.569999999998</v>
      </c>
      <c r="AB79" s="40">
        <v>371.569999999998</v>
      </c>
      <c r="AC79" s="40">
        <v>371.569999999998</v>
      </c>
      <c r="AD79" s="40">
        <v>371.569999999998</v>
      </c>
      <c r="AE79" s="40">
        <v>371.569999999998</v>
      </c>
      <c r="AF79" s="40">
        <v>371.569999999998</v>
      </c>
      <c r="AG79" s="40">
        <v>371.569999999998</v>
      </c>
      <c r="AH79" s="40">
        <v>371.569999999998</v>
      </c>
      <c r="AI79" s="40">
        <v>371.569999999998</v>
      </c>
      <c r="AJ79" s="40">
        <v>371.569999999998</v>
      </c>
      <c r="AK79" s="40">
        <v>371.569999999997</v>
      </c>
      <c r="AL79" s="40">
        <v>371.569999999997</v>
      </c>
      <c r="AM79" s="40">
        <v>371.569999999997</v>
      </c>
      <c r="AN79" s="40">
        <v>371.569999999997</v>
      </c>
      <c r="AO79" s="40">
        <v>371.569999999997</v>
      </c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</row>
    <row r="80" ht="35.25" customHeight="1">
      <c r="A80" s="57" t="s">
        <v>214</v>
      </c>
      <c r="B80" s="40">
        <v>168.8</v>
      </c>
      <c r="C80" s="40">
        <v>168.8</v>
      </c>
      <c r="D80" s="40">
        <v>168.8</v>
      </c>
      <c r="E80" s="40">
        <v>168.8</v>
      </c>
      <c r="F80" s="40">
        <v>168.8</v>
      </c>
      <c r="G80" s="40">
        <v>168.8</v>
      </c>
      <c r="H80" s="40">
        <v>168.8</v>
      </c>
      <c r="I80" s="40">
        <v>168.8</v>
      </c>
      <c r="J80" s="40">
        <v>168.8</v>
      </c>
      <c r="K80" s="40">
        <v>168.8</v>
      </c>
      <c r="L80" s="40">
        <v>168.8</v>
      </c>
      <c r="M80" s="40">
        <v>168.8</v>
      </c>
      <c r="N80" s="40">
        <v>168.8</v>
      </c>
      <c r="O80" s="40">
        <v>168.8</v>
      </c>
      <c r="P80" s="40">
        <v>168.8</v>
      </c>
      <c r="Q80" s="40">
        <v>168.8</v>
      </c>
      <c r="R80" s="40">
        <v>168.8</v>
      </c>
      <c r="S80" s="40">
        <v>168.8</v>
      </c>
      <c r="T80" s="40">
        <v>168.8</v>
      </c>
      <c r="U80" s="40">
        <v>168.8</v>
      </c>
      <c r="V80" s="40">
        <v>168.8</v>
      </c>
      <c r="W80" s="40">
        <v>168.8</v>
      </c>
      <c r="X80" s="40">
        <v>168.8</v>
      </c>
      <c r="Y80" s="40">
        <v>168.8</v>
      </c>
      <c r="Z80" s="40">
        <v>168.8</v>
      </c>
      <c r="AA80" s="40">
        <v>168.8</v>
      </c>
      <c r="AB80" s="40">
        <v>168.800000000001</v>
      </c>
      <c r="AC80" s="40">
        <v>168.800000000001</v>
      </c>
      <c r="AD80" s="40">
        <v>168.800000000001</v>
      </c>
      <c r="AE80" s="40">
        <v>168.800000000001</v>
      </c>
      <c r="AF80" s="40">
        <v>168.800000000001</v>
      </c>
      <c r="AG80" s="40">
        <v>168.800000000001</v>
      </c>
      <c r="AH80" s="40">
        <v>168.800000000001</v>
      </c>
      <c r="AI80" s="40">
        <v>168.800000000001</v>
      </c>
      <c r="AJ80" s="40">
        <v>168.800000000001</v>
      </c>
      <c r="AK80" s="40">
        <v>168.800000000001</v>
      </c>
      <c r="AL80" s="40">
        <v>168.800000000001</v>
      </c>
      <c r="AM80" s="40">
        <v>168.800000000001</v>
      </c>
      <c r="AN80" s="40">
        <v>168.800000000001</v>
      </c>
      <c r="AO80" s="40">
        <v>168.800000000001</v>
      </c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</row>
    <row r="81" ht="15.75" customHeight="1">
      <c r="A81" s="57" t="s">
        <v>215</v>
      </c>
      <c r="B81" s="40">
        <f t="shared" ref="B81:AO81" si="17">B13*10000*0.85</f>
        <v>340</v>
      </c>
      <c r="C81" s="40">
        <f t="shared" si="17"/>
        <v>510</v>
      </c>
      <c r="D81" s="40">
        <f t="shared" si="17"/>
        <v>680</v>
      </c>
      <c r="E81" s="40">
        <f t="shared" si="17"/>
        <v>850</v>
      </c>
      <c r="F81" s="40">
        <f t="shared" si="17"/>
        <v>1020</v>
      </c>
      <c r="G81" s="40">
        <f t="shared" si="17"/>
        <v>1190</v>
      </c>
      <c r="H81" s="40">
        <f t="shared" si="17"/>
        <v>1360</v>
      </c>
      <c r="I81" s="40">
        <f t="shared" si="17"/>
        <v>1530</v>
      </c>
      <c r="J81" s="40">
        <f t="shared" si="17"/>
        <v>1700</v>
      </c>
      <c r="K81" s="40">
        <f t="shared" si="17"/>
        <v>1870</v>
      </c>
      <c r="L81" s="40">
        <f t="shared" si="17"/>
        <v>2040</v>
      </c>
      <c r="M81" s="40">
        <f t="shared" si="17"/>
        <v>2210</v>
      </c>
      <c r="N81" s="40">
        <f t="shared" si="17"/>
        <v>2380</v>
      </c>
      <c r="O81" s="40">
        <f t="shared" si="17"/>
        <v>2550</v>
      </c>
      <c r="P81" s="40">
        <f t="shared" si="17"/>
        <v>2720</v>
      </c>
      <c r="Q81" s="40">
        <f t="shared" si="17"/>
        <v>2890</v>
      </c>
      <c r="R81" s="40">
        <f t="shared" si="17"/>
        <v>3060</v>
      </c>
      <c r="S81" s="40">
        <f t="shared" si="17"/>
        <v>3230</v>
      </c>
      <c r="T81" s="40">
        <f t="shared" si="17"/>
        <v>3400</v>
      </c>
      <c r="U81" s="40">
        <f t="shared" si="17"/>
        <v>3570</v>
      </c>
      <c r="V81" s="40">
        <f t="shared" si="17"/>
        <v>3740</v>
      </c>
      <c r="W81" s="40">
        <f t="shared" si="17"/>
        <v>3910</v>
      </c>
      <c r="X81" s="40">
        <f t="shared" si="17"/>
        <v>4080</v>
      </c>
      <c r="Y81" s="40">
        <f t="shared" si="17"/>
        <v>4250</v>
      </c>
      <c r="Z81" s="40">
        <f t="shared" si="17"/>
        <v>4420</v>
      </c>
      <c r="AA81" s="40">
        <f t="shared" si="17"/>
        <v>4590</v>
      </c>
      <c r="AB81" s="40">
        <f t="shared" si="17"/>
        <v>4760</v>
      </c>
      <c r="AC81" s="40">
        <f t="shared" si="17"/>
        <v>4930</v>
      </c>
      <c r="AD81" s="40">
        <f t="shared" si="17"/>
        <v>5100</v>
      </c>
      <c r="AE81" s="40">
        <f t="shared" si="17"/>
        <v>5270</v>
      </c>
      <c r="AF81" s="40">
        <f t="shared" si="17"/>
        <v>5440</v>
      </c>
      <c r="AG81" s="40">
        <f t="shared" si="17"/>
        <v>5610</v>
      </c>
      <c r="AH81" s="40">
        <f t="shared" si="17"/>
        <v>5780</v>
      </c>
      <c r="AI81" s="40">
        <f t="shared" si="17"/>
        <v>5950</v>
      </c>
      <c r="AJ81" s="40">
        <f t="shared" si="17"/>
        <v>6120</v>
      </c>
      <c r="AK81" s="40">
        <f t="shared" si="17"/>
        <v>6290</v>
      </c>
      <c r="AL81" s="40">
        <f t="shared" si="17"/>
        <v>6460</v>
      </c>
      <c r="AM81" s="40">
        <f t="shared" si="17"/>
        <v>6630</v>
      </c>
      <c r="AN81" s="40">
        <f t="shared" si="17"/>
        <v>6800</v>
      </c>
      <c r="AO81" s="40">
        <f t="shared" si="17"/>
        <v>6970</v>
      </c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</row>
    <row r="82" ht="15.75" customHeight="1">
      <c r="A82" s="57" t="s">
        <v>216</v>
      </c>
      <c r="B82" s="40">
        <f t="shared" ref="B82:AO82" si="18">207*1.19</f>
        <v>246.33</v>
      </c>
      <c r="C82" s="40">
        <f t="shared" si="18"/>
        <v>246.33</v>
      </c>
      <c r="D82" s="40">
        <f t="shared" si="18"/>
        <v>246.33</v>
      </c>
      <c r="E82" s="40">
        <f t="shared" si="18"/>
        <v>246.33</v>
      </c>
      <c r="F82" s="40">
        <f t="shared" si="18"/>
        <v>246.33</v>
      </c>
      <c r="G82" s="40">
        <f t="shared" si="18"/>
        <v>246.33</v>
      </c>
      <c r="H82" s="40">
        <f t="shared" si="18"/>
        <v>246.33</v>
      </c>
      <c r="I82" s="40">
        <f t="shared" si="18"/>
        <v>246.33</v>
      </c>
      <c r="J82" s="40">
        <f t="shared" si="18"/>
        <v>246.33</v>
      </c>
      <c r="K82" s="40">
        <f t="shared" si="18"/>
        <v>246.33</v>
      </c>
      <c r="L82" s="40">
        <f t="shared" si="18"/>
        <v>246.33</v>
      </c>
      <c r="M82" s="40">
        <f t="shared" si="18"/>
        <v>246.33</v>
      </c>
      <c r="N82" s="40">
        <f t="shared" si="18"/>
        <v>246.33</v>
      </c>
      <c r="O82" s="40">
        <f t="shared" si="18"/>
        <v>246.33</v>
      </c>
      <c r="P82" s="40">
        <f t="shared" si="18"/>
        <v>246.33</v>
      </c>
      <c r="Q82" s="40">
        <f t="shared" si="18"/>
        <v>246.33</v>
      </c>
      <c r="R82" s="40">
        <f t="shared" si="18"/>
        <v>246.33</v>
      </c>
      <c r="S82" s="40">
        <f t="shared" si="18"/>
        <v>246.33</v>
      </c>
      <c r="T82" s="40">
        <f t="shared" si="18"/>
        <v>246.33</v>
      </c>
      <c r="U82" s="40">
        <f t="shared" si="18"/>
        <v>246.33</v>
      </c>
      <c r="V82" s="40">
        <f t="shared" si="18"/>
        <v>246.33</v>
      </c>
      <c r="W82" s="40">
        <f t="shared" si="18"/>
        <v>246.33</v>
      </c>
      <c r="X82" s="40">
        <f t="shared" si="18"/>
        <v>246.33</v>
      </c>
      <c r="Y82" s="40">
        <f t="shared" si="18"/>
        <v>246.33</v>
      </c>
      <c r="Z82" s="40">
        <f t="shared" si="18"/>
        <v>246.33</v>
      </c>
      <c r="AA82" s="40">
        <f t="shared" si="18"/>
        <v>246.33</v>
      </c>
      <c r="AB82" s="40">
        <f t="shared" si="18"/>
        <v>246.33</v>
      </c>
      <c r="AC82" s="40">
        <f t="shared" si="18"/>
        <v>246.33</v>
      </c>
      <c r="AD82" s="40">
        <f t="shared" si="18"/>
        <v>246.33</v>
      </c>
      <c r="AE82" s="40">
        <f t="shared" si="18"/>
        <v>246.33</v>
      </c>
      <c r="AF82" s="40">
        <f t="shared" si="18"/>
        <v>246.33</v>
      </c>
      <c r="AG82" s="40">
        <f t="shared" si="18"/>
        <v>246.33</v>
      </c>
      <c r="AH82" s="40">
        <f t="shared" si="18"/>
        <v>246.33</v>
      </c>
      <c r="AI82" s="40">
        <f t="shared" si="18"/>
        <v>246.33</v>
      </c>
      <c r="AJ82" s="40">
        <f t="shared" si="18"/>
        <v>246.33</v>
      </c>
      <c r="AK82" s="40">
        <f t="shared" si="18"/>
        <v>246.33</v>
      </c>
      <c r="AL82" s="40">
        <f t="shared" si="18"/>
        <v>246.33</v>
      </c>
      <c r="AM82" s="40">
        <f t="shared" si="18"/>
        <v>246.33</v>
      </c>
      <c r="AN82" s="40">
        <f t="shared" si="18"/>
        <v>246.33</v>
      </c>
      <c r="AO82" s="40">
        <f t="shared" si="18"/>
        <v>246.33</v>
      </c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</row>
    <row r="83" ht="15.75" customHeight="1">
      <c r="A83" s="57" t="s">
        <v>217</v>
      </c>
      <c r="B83" s="40">
        <f>1000*Datengrundlage!$C$32*0.0095+600+590</f>
        <v>1223.25</v>
      </c>
      <c r="C83" s="40">
        <f>1000*Datengrundlage!$C$32*0.0095+600+590</f>
        <v>1223.25</v>
      </c>
      <c r="D83" s="40">
        <f>1000*Datengrundlage!$C$32*0.0095+600+590</f>
        <v>1223.25</v>
      </c>
      <c r="E83" s="40">
        <f>1000*Datengrundlage!$C$32*0.0095+600+590</f>
        <v>1223.25</v>
      </c>
      <c r="F83" s="40">
        <f>1000*Datengrundlage!$C$32*0.0095+600+590</f>
        <v>1223.25</v>
      </c>
      <c r="G83" s="40">
        <f>1000*Datengrundlage!$C$32*0.0095+600+590</f>
        <v>1223.25</v>
      </c>
      <c r="H83" s="40">
        <f>1000*Datengrundlage!$C$32*0.0095+600+590</f>
        <v>1223.25</v>
      </c>
      <c r="I83" s="40">
        <f>1000*Datengrundlage!$C$32*0.0095+600+590</f>
        <v>1223.25</v>
      </c>
      <c r="J83" s="40">
        <f>1000*Datengrundlage!$C$32*0.0095+600+590</f>
        <v>1223.25</v>
      </c>
      <c r="K83" s="40">
        <f>1000*Datengrundlage!$C$32*0.0095+600+590</f>
        <v>1223.25</v>
      </c>
      <c r="L83" s="40">
        <f>1000*Datengrundlage!$C$32*0.0095+600+590</f>
        <v>1223.25</v>
      </c>
      <c r="M83" s="40">
        <f>1000*Datengrundlage!$C$32*0.0095+600+590</f>
        <v>1223.25</v>
      </c>
      <c r="N83" s="40">
        <f>1000*Datengrundlage!$C$32*0.0095+600+590</f>
        <v>1223.25</v>
      </c>
      <c r="O83" s="40">
        <f>1000*Datengrundlage!$C$32*0.0095+600+590</f>
        <v>1223.25</v>
      </c>
      <c r="P83" s="40">
        <f>1000*Datengrundlage!$C$32*0.0095+600+590</f>
        <v>1223.25</v>
      </c>
      <c r="Q83" s="40">
        <f>1000*Datengrundlage!$C$32*0.0095+600+590</f>
        <v>1223.25</v>
      </c>
      <c r="R83" s="40">
        <f>1000*Datengrundlage!$C$32*0.0095+600+590</f>
        <v>1223.25</v>
      </c>
      <c r="S83" s="40">
        <f>1000*Datengrundlage!$C$32*0.0095+600+590</f>
        <v>1223.25</v>
      </c>
      <c r="T83" s="40">
        <f>1000*Datengrundlage!$C$32*0.0095+600+590</f>
        <v>1223.25</v>
      </c>
      <c r="U83" s="40">
        <f>1000*Datengrundlage!$C$32*0.0095+600+590</f>
        <v>1223.25</v>
      </c>
      <c r="V83" s="40">
        <f>1000*Datengrundlage!$C$32*0.0095+600+590</f>
        <v>1223.25</v>
      </c>
      <c r="W83" s="40">
        <f>1000*Datengrundlage!$C$32*0.0095+600+590</f>
        <v>1223.25</v>
      </c>
      <c r="X83" s="40">
        <f>1000*Datengrundlage!$C$32*0.0095+600+590</f>
        <v>1223.25</v>
      </c>
      <c r="Y83" s="40">
        <f>1000*Datengrundlage!$C$32*0.0095+600+590</f>
        <v>1223.25</v>
      </c>
      <c r="Z83" s="40">
        <f>1000*Datengrundlage!$C$32*0.0095+600+590</f>
        <v>1223.25</v>
      </c>
      <c r="AA83" s="40">
        <f>1000*Datengrundlage!$C$32*0.0095+600+590</f>
        <v>1223.25</v>
      </c>
      <c r="AB83" s="40">
        <f>1000*Datengrundlage!$C$32*0.0095+600+590</f>
        <v>1223.25</v>
      </c>
      <c r="AC83" s="40">
        <f>1000*Datengrundlage!$C$32*0.0095+600+590</f>
        <v>1223.25</v>
      </c>
      <c r="AD83" s="40">
        <f>1000*Datengrundlage!$C$32*0.0095+600+590</f>
        <v>1223.25</v>
      </c>
      <c r="AE83" s="40">
        <f>1000*Datengrundlage!$C$32*0.0095+600+590</f>
        <v>1223.25</v>
      </c>
      <c r="AF83" s="40">
        <f>1000*Datengrundlage!$C$32*0.0095+600+590</f>
        <v>1223.25</v>
      </c>
      <c r="AG83" s="40">
        <f>1000*Datengrundlage!$C$32*0.0095+600+590</f>
        <v>1223.25</v>
      </c>
      <c r="AH83" s="40">
        <f>1000*Datengrundlage!$C$32*0.0095+600+590</f>
        <v>1223.25</v>
      </c>
      <c r="AI83" s="40">
        <f>1000*Datengrundlage!$C$32*0.0095+600+590</f>
        <v>1223.25</v>
      </c>
      <c r="AJ83" s="40">
        <f>1000*Datengrundlage!$C$32*0.0095+600+590</f>
        <v>1223.25</v>
      </c>
      <c r="AK83" s="40">
        <f>1000*Datengrundlage!$C$32*0.0095+600+590</f>
        <v>1223.25</v>
      </c>
      <c r="AL83" s="40">
        <f>1000*Datengrundlage!$C$32*0.0095+600+590</f>
        <v>1223.25</v>
      </c>
      <c r="AM83" s="40">
        <f>1000*Datengrundlage!$C$32*0.0095+600+590</f>
        <v>1223.25</v>
      </c>
      <c r="AN83" s="40">
        <f>1000*Datengrundlage!$C$32*0.0095+600+590</f>
        <v>1223.25</v>
      </c>
      <c r="AO83" s="40">
        <f>1000*Datengrundlage!$C$32*0.0095+600+590</f>
        <v>1223.25</v>
      </c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</row>
    <row r="84" ht="15.75" customHeight="1">
      <c r="A84" s="57" t="s">
        <v>218</v>
      </c>
      <c r="B84" s="40">
        <f t="shared" ref="B84:AO84" si="19">173.5</f>
        <v>173.5</v>
      </c>
      <c r="C84" s="40">
        <f t="shared" si="19"/>
        <v>173.5</v>
      </c>
      <c r="D84" s="40">
        <f t="shared" si="19"/>
        <v>173.5</v>
      </c>
      <c r="E84" s="40">
        <f t="shared" si="19"/>
        <v>173.5</v>
      </c>
      <c r="F84" s="40">
        <f t="shared" si="19"/>
        <v>173.5</v>
      </c>
      <c r="G84" s="40">
        <f t="shared" si="19"/>
        <v>173.5</v>
      </c>
      <c r="H84" s="40">
        <f t="shared" si="19"/>
        <v>173.5</v>
      </c>
      <c r="I84" s="40">
        <f t="shared" si="19"/>
        <v>173.5</v>
      </c>
      <c r="J84" s="40">
        <f t="shared" si="19"/>
        <v>173.5</v>
      </c>
      <c r="K84" s="40">
        <f t="shared" si="19"/>
        <v>173.5</v>
      </c>
      <c r="L84" s="40">
        <f t="shared" si="19"/>
        <v>173.5</v>
      </c>
      <c r="M84" s="40">
        <f t="shared" si="19"/>
        <v>173.5</v>
      </c>
      <c r="N84" s="40">
        <f t="shared" si="19"/>
        <v>173.5</v>
      </c>
      <c r="O84" s="40">
        <f t="shared" si="19"/>
        <v>173.5</v>
      </c>
      <c r="P84" s="40">
        <f t="shared" si="19"/>
        <v>173.5</v>
      </c>
      <c r="Q84" s="40">
        <f t="shared" si="19"/>
        <v>173.5</v>
      </c>
      <c r="R84" s="40">
        <f t="shared" si="19"/>
        <v>173.5</v>
      </c>
      <c r="S84" s="40">
        <f t="shared" si="19"/>
        <v>173.5</v>
      </c>
      <c r="T84" s="40">
        <f t="shared" si="19"/>
        <v>173.5</v>
      </c>
      <c r="U84" s="40">
        <f t="shared" si="19"/>
        <v>173.5</v>
      </c>
      <c r="V84" s="40">
        <f t="shared" si="19"/>
        <v>173.5</v>
      </c>
      <c r="W84" s="40">
        <f t="shared" si="19"/>
        <v>173.5</v>
      </c>
      <c r="X84" s="40">
        <f t="shared" si="19"/>
        <v>173.5</v>
      </c>
      <c r="Y84" s="40">
        <f t="shared" si="19"/>
        <v>173.5</v>
      </c>
      <c r="Z84" s="40">
        <f t="shared" si="19"/>
        <v>173.5</v>
      </c>
      <c r="AA84" s="40">
        <f t="shared" si="19"/>
        <v>173.5</v>
      </c>
      <c r="AB84" s="40">
        <f t="shared" si="19"/>
        <v>173.5</v>
      </c>
      <c r="AC84" s="40">
        <f t="shared" si="19"/>
        <v>173.5</v>
      </c>
      <c r="AD84" s="40">
        <f t="shared" si="19"/>
        <v>173.5</v>
      </c>
      <c r="AE84" s="40">
        <f t="shared" si="19"/>
        <v>173.5</v>
      </c>
      <c r="AF84" s="40">
        <f t="shared" si="19"/>
        <v>173.5</v>
      </c>
      <c r="AG84" s="40">
        <f t="shared" si="19"/>
        <v>173.5</v>
      </c>
      <c r="AH84" s="40">
        <f t="shared" si="19"/>
        <v>173.5</v>
      </c>
      <c r="AI84" s="40">
        <f t="shared" si="19"/>
        <v>173.5</v>
      </c>
      <c r="AJ84" s="40">
        <f t="shared" si="19"/>
        <v>173.5</v>
      </c>
      <c r="AK84" s="40">
        <f t="shared" si="19"/>
        <v>173.5</v>
      </c>
      <c r="AL84" s="40">
        <f t="shared" si="19"/>
        <v>173.5</v>
      </c>
      <c r="AM84" s="40">
        <f t="shared" si="19"/>
        <v>173.5</v>
      </c>
      <c r="AN84" s="40">
        <f t="shared" si="19"/>
        <v>173.5</v>
      </c>
      <c r="AO84" s="40">
        <f t="shared" si="19"/>
        <v>173.5</v>
      </c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</row>
    <row r="85" ht="15.75" customHeight="1">
      <c r="A85" s="57" t="s">
        <v>219</v>
      </c>
      <c r="B85" s="40">
        <f t="shared" ref="B85:AO85" si="20">12*(32+31.58+92)</f>
        <v>1866.96</v>
      </c>
      <c r="C85" s="40">
        <f t="shared" si="20"/>
        <v>1866.96</v>
      </c>
      <c r="D85" s="40">
        <f t="shared" si="20"/>
        <v>1866.96</v>
      </c>
      <c r="E85" s="40">
        <f t="shared" si="20"/>
        <v>1866.96</v>
      </c>
      <c r="F85" s="40">
        <f t="shared" si="20"/>
        <v>1866.96</v>
      </c>
      <c r="G85" s="40">
        <f t="shared" si="20"/>
        <v>1866.96</v>
      </c>
      <c r="H85" s="40">
        <f t="shared" si="20"/>
        <v>1866.96</v>
      </c>
      <c r="I85" s="40">
        <f t="shared" si="20"/>
        <v>1866.96</v>
      </c>
      <c r="J85" s="40">
        <f t="shared" si="20"/>
        <v>1866.96</v>
      </c>
      <c r="K85" s="40">
        <f t="shared" si="20"/>
        <v>1866.96</v>
      </c>
      <c r="L85" s="40">
        <f t="shared" si="20"/>
        <v>1866.96</v>
      </c>
      <c r="M85" s="40">
        <f t="shared" si="20"/>
        <v>1866.96</v>
      </c>
      <c r="N85" s="40">
        <f t="shared" si="20"/>
        <v>1866.96</v>
      </c>
      <c r="O85" s="40">
        <f t="shared" si="20"/>
        <v>1866.96</v>
      </c>
      <c r="P85" s="40">
        <f t="shared" si="20"/>
        <v>1866.96</v>
      </c>
      <c r="Q85" s="40">
        <f t="shared" si="20"/>
        <v>1866.96</v>
      </c>
      <c r="R85" s="40">
        <f t="shared" si="20"/>
        <v>1866.96</v>
      </c>
      <c r="S85" s="40">
        <f t="shared" si="20"/>
        <v>1866.96</v>
      </c>
      <c r="T85" s="40">
        <f t="shared" si="20"/>
        <v>1866.96</v>
      </c>
      <c r="U85" s="40">
        <f t="shared" si="20"/>
        <v>1866.96</v>
      </c>
      <c r="V85" s="40">
        <f t="shared" si="20"/>
        <v>1866.96</v>
      </c>
      <c r="W85" s="40">
        <f t="shared" si="20"/>
        <v>1866.96</v>
      </c>
      <c r="X85" s="40">
        <f t="shared" si="20"/>
        <v>1866.96</v>
      </c>
      <c r="Y85" s="40">
        <f t="shared" si="20"/>
        <v>1866.96</v>
      </c>
      <c r="Z85" s="40">
        <f t="shared" si="20"/>
        <v>1866.96</v>
      </c>
      <c r="AA85" s="40">
        <f t="shared" si="20"/>
        <v>1866.96</v>
      </c>
      <c r="AB85" s="40">
        <f t="shared" si="20"/>
        <v>1866.96</v>
      </c>
      <c r="AC85" s="40">
        <f t="shared" si="20"/>
        <v>1866.96</v>
      </c>
      <c r="AD85" s="40">
        <f t="shared" si="20"/>
        <v>1866.96</v>
      </c>
      <c r="AE85" s="40">
        <f t="shared" si="20"/>
        <v>1866.96</v>
      </c>
      <c r="AF85" s="40">
        <f t="shared" si="20"/>
        <v>1866.96</v>
      </c>
      <c r="AG85" s="40">
        <f t="shared" si="20"/>
        <v>1866.96</v>
      </c>
      <c r="AH85" s="40">
        <f t="shared" si="20"/>
        <v>1866.96</v>
      </c>
      <c r="AI85" s="40">
        <f t="shared" si="20"/>
        <v>1866.96</v>
      </c>
      <c r="AJ85" s="40">
        <f t="shared" si="20"/>
        <v>1866.96</v>
      </c>
      <c r="AK85" s="40">
        <f t="shared" si="20"/>
        <v>1866.96</v>
      </c>
      <c r="AL85" s="40">
        <f t="shared" si="20"/>
        <v>1866.96</v>
      </c>
      <c r="AM85" s="40">
        <f t="shared" si="20"/>
        <v>1866.96</v>
      </c>
      <c r="AN85" s="40">
        <f t="shared" si="20"/>
        <v>1866.96</v>
      </c>
      <c r="AO85" s="40">
        <f t="shared" si="20"/>
        <v>1866.96</v>
      </c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</row>
    <row r="86" ht="14.25" hidden="1" customHeight="1">
      <c r="A86" s="57" t="s">
        <v>220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>
        <f t="shared" ref="S86:AO86" si="21">300*S16/3</f>
        <v>665.0873656</v>
      </c>
      <c r="T86" s="40">
        <f t="shared" si="21"/>
        <v>692.1850998</v>
      </c>
      <c r="U86" s="40">
        <f t="shared" si="21"/>
        <v>719.2828341</v>
      </c>
      <c r="V86" s="40">
        <f t="shared" si="21"/>
        <v>746.3805684</v>
      </c>
      <c r="W86" s="40">
        <f t="shared" si="21"/>
        <v>773.4783026</v>
      </c>
      <c r="X86" s="40">
        <f t="shared" si="21"/>
        <v>800.5760369</v>
      </c>
      <c r="Y86" s="40">
        <f t="shared" si="21"/>
        <v>853.5954301</v>
      </c>
      <c r="Z86" s="40">
        <f t="shared" si="21"/>
        <v>880.6931644</v>
      </c>
      <c r="AA86" s="40">
        <f t="shared" si="21"/>
        <v>907.7908986</v>
      </c>
      <c r="AB86" s="40">
        <f t="shared" si="21"/>
        <v>934.8886329</v>
      </c>
      <c r="AC86" s="40">
        <f t="shared" si="21"/>
        <v>961.9863671</v>
      </c>
      <c r="AD86" s="40">
        <f t="shared" si="21"/>
        <v>989.0841014</v>
      </c>
      <c r="AE86" s="40">
        <f t="shared" si="21"/>
        <v>1016.181836</v>
      </c>
      <c r="AF86" s="40">
        <f t="shared" si="21"/>
        <v>1043.27957</v>
      </c>
      <c r="AG86" s="40">
        <f t="shared" si="21"/>
        <v>1096.298963</v>
      </c>
      <c r="AH86" s="40">
        <f t="shared" si="21"/>
        <v>1123.396697</v>
      </c>
      <c r="AI86" s="40">
        <f t="shared" si="21"/>
        <v>1150.494432</v>
      </c>
      <c r="AJ86" s="40">
        <f t="shared" si="21"/>
        <v>1177.592166</v>
      </c>
      <c r="AK86" s="40">
        <f t="shared" si="21"/>
        <v>1204.6899</v>
      </c>
      <c r="AL86" s="40">
        <f t="shared" si="21"/>
        <v>1231.787634</v>
      </c>
      <c r="AM86" s="40">
        <f t="shared" si="21"/>
        <v>1300.648041</v>
      </c>
      <c r="AN86" s="40">
        <f t="shared" si="21"/>
        <v>1327.745776</v>
      </c>
      <c r="AO86" s="40">
        <f t="shared" si="21"/>
        <v>1354.84351</v>
      </c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</row>
    <row r="87" ht="15.75" hidden="1" customHeight="1">
      <c r="A87" s="57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</row>
    <row r="88" ht="15.75" customHeight="1">
      <c r="A88" s="57" t="s">
        <v>221</v>
      </c>
      <c r="B88" s="40">
        <f t="shared" ref="B88:AO88" si="22">B3*5</f>
        <v>250</v>
      </c>
      <c r="C88" s="40">
        <f t="shared" si="22"/>
        <v>375</v>
      </c>
      <c r="D88" s="40">
        <f t="shared" si="22"/>
        <v>500</v>
      </c>
      <c r="E88" s="40">
        <f t="shared" si="22"/>
        <v>625</v>
      </c>
      <c r="F88" s="40">
        <f t="shared" si="22"/>
        <v>750</v>
      </c>
      <c r="G88" s="40">
        <f t="shared" si="22"/>
        <v>875</v>
      </c>
      <c r="H88" s="40">
        <f t="shared" si="22"/>
        <v>1000</v>
      </c>
      <c r="I88" s="40">
        <f t="shared" si="22"/>
        <v>1125</v>
      </c>
      <c r="J88" s="40">
        <f t="shared" si="22"/>
        <v>1250</v>
      </c>
      <c r="K88" s="40">
        <f t="shared" si="22"/>
        <v>1375</v>
      </c>
      <c r="L88" s="40">
        <f t="shared" si="22"/>
        <v>1500</v>
      </c>
      <c r="M88" s="40">
        <f t="shared" si="22"/>
        <v>1625</v>
      </c>
      <c r="N88" s="40">
        <f t="shared" si="22"/>
        <v>1750</v>
      </c>
      <c r="O88" s="40">
        <f t="shared" si="22"/>
        <v>1875</v>
      </c>
      <c r="P88" s="40">
        <f t="shared" si="22"/>
        <v>2000</v>
      </c>
      <c r="Q88" s="40">
        <f t="shared" si="22"/>
        <v>2125</v>
      </c>
      <c r="R88" s="40">
        <f t="shared" si="22"/>
        <v>2250</v>
      </c>
      <c r="S88" s="40">
        <f t="shared" si="22"/>
        <v>2375</v>
      </c>
      <c r="T88" s="40">
        <f t="shared" si="22"/>
        <v>2500</v>
      </c>
      <c r="U88" s="40">
        <f t="shared" si="22"/>
        <v>2625</v>
      </c>
      <c r="V88" s="40">
        <f t="shared" si="22"/>
        <v>2750</v>
      </c>
      <c r="W88" s="40">
        <f t="shared" si="22"/>
        <v>2875</v>
      </c>
      <c r="X88" s="40">
        <f t="shared" si="22"/>
        <v>3000</v>
      </c>
      <c r="Y88" s="40">
        <f t="shared" si="22"/>
        <v>3125</v>
      </c>
      <c r="Z88" s="40">
        <f t="shared" si="22"/>
        <v>3250</v>
      </c>
      <c r="AA88" s="40">
        <f t="shared" si="22"/>
        <v>3375</v>
      </c>
      <c r="AB88" s="40">
        <f t="shared" si="22"/>
        <v>3500</v>
      </c>
      <c r="AC88" s="40">
        <f t="shared" si="22"/>
        <v>3625</v>
      </c>
      <c r="AD88" s="40">
        <f t="shared" si="22"/>
        <v>3750</v>
      </c>
      <c r="AE88" s="40">
        <f t="shared" si="22"/>
        <v>3875</v>
      </c>
      <c r="AF88" s="40">
        <f t="shared" si="22"/>
        <v>4000</v>
      </c>
      <c r="AG88" s="40">
        <f t="shared" si="22"/>
        <v>4125</v>
      </c>
      <c r="AH88" s="40">
        <f t="shared" si="22"/>
        <v>4250</v>
      </c>
      <c r="AI88" s="40">
        <f t="shared" si="22"/>
        <v>4375</v>
      </c>
      <c r="AJ88" s="40">
        <f t="shared" si="22"/>
        <v>4500</v>
      </c>
      <c r="AK88" s="40">
        <f t="shared" si="22"/>
        <v>4625</v>
      </c>
      <c r="AL88" s="40">
        <f t="shared" si="22"/>
        <v>4750</v>
      </c>
      <c r="AM88" s="40">
        <f t="shared" si="22"/>
        <v>4875</v>
      </c>
      <c r="AN88" s="40">
        <f t="shared" si="22"/>
        <v>5000</v>
      </c>
      <c r="AO88" s="40">
        <f t="shared" si="22"/>
        <v>5125</v>
      </c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</row>
    <row r="89" ht="15.75" customHeight="1">
      <c r="A89" s="57" t="s">
        <v>222</v>
      </c>
      <c r="B89" s="40">
        <f t="shared" ref="B89:AO89" si="23">1.66*B3</f>
        <v>83</v>
      </c>
      <c r="C89" s="40">
        <f t="shared" si="23"/>
        <v>124.5</v>
      </c>
      <c r="D89" s="40">
        <f t="shared" si="23"/>
        <v>166</v>
      </c>
      <c r="E89" s="40">
        <f t="shared" si="23"/>
        <v>207.5</v>
      </c>
      <c r="F89" s="40">
        <f t="shared" si="23"/>
        <v>249</v>
      </c>
      <c r="G89" s="40">
        <f t="shared" si="23"/>
        <v>290.5</v>
      </c>
      <c r="H89" s="40">
        <f t="shared" si="23"/>
        <v>332</v>
      </c>
      <c r="I89" s="40">
        <f t="shared" si="23"/>
        <v>373.5</v>
      </c>
      <c r="J89" s="40">
        <f t="shared" si="23"/>
        <v>415</v>
      </c>
      <c r="K89" s="40">
        <f t="shared" si="23"/>
        <v>456.5</v>
      </c>
      <c r="L89" s="40">
        <f t="shared" si="23"/>
        <v>498</v>
      </c>
      <c r="M89" s="40">
        <f t="shared" si="23"/>
        <v>539.5</v>
      </c>
      <c r="N89" s="40">
        <f t="shared" si="23"/>
        <v>581</v>
      </c>
      <c r="O89" s="40">
        <f t="shared" si="23"/>
        <v>622.5</v>
      </c>
      <c r="P89" s="40">
        <f t="shared" si="23"/>
        <v>664</v>
      </c>
      <c r="Q89" s="40">
        <f t="shared" si="23"/>
        <v>705.5</v>
      </c>
      <c r="R89" s="40">
        <f t="shared" si="23"/>
        <v>747</v>
      </c>
      <c r="S89" s="40">
        <f t="shared" si="23"/>
        <v>788.5</v>
      </c>
      <c r="T89" s="40">
        <f t="shared" si="23"/>
        <v>830</v>
      </c>
      <c r="U89" s="40">
        <f t="shared" si="23"/>
        <v>871.5</v>
      </c>
      <c r="V89" s="40">
        <f t="shared" si="23"/>
        <v>913</v>
      </c>
      <c r="W89" s="40">
        <f t="shared" si="23"/>
        <v>954.5</v>
      </c>
      <c r="X89" s="40">
        <f t="shared" si="23"/>
        <v>996</v>
      </c>
      <c r="Y89" s="40">
        <f t="shared" si="23"/>
        <v>1037.5</v>
      </c>
      <c r="Z89" s="40">
        <f t="shared" si="23"/>
        <v>1079</v>
      </c>
      <c r="AA89" s="40">
        <f t="shared" si="23"/>
        <v>1120.5</v>
      </c>
      <c r="AB89" s="40">
        <f t="shared" si="23"/>
        <v>1162</v>
      </c>
      <c r="AC89" s="40">
        <f t="shared" si="23"/>
        <v>1203.5</v>
      </c>
      <c r="AD89" s="40">
        <f t="shared" si="23"/>
        <v>1245</v>
      </c>
      <c r="AE89" s="40">
        <f t="shared" si="23"/>
        <v>1286.5</v>
      </c>
      <c r="AF89" s="40">
        <f t="shared" si="23"/>
        <v>1328</v>
      </c>
      <c r="AG89" s="40">
        <f t="shared" si="23"/>
        <v>1369.5</v>
      </c>
      <c r="AH89" s="40">
        <f t="shared" si="23"/>
        <v>1411</v>
      </c>
      <c r="AI89" s="40">
        <f t="shared" si="23"/>
        <v>1452.5</v>
      </c>
      <c r="AJ89" s="40">
        <f t="shared" si="23"/>
        <v>1494</v>
      </c>
      <c r="AK89" s="40">
        <f t="shared" si="23"/>
        <v>1535.5</v>
      </c>
      <c r="AL89" s="40">
        <f t="shared" si="23"/>
        <v>1577</v>
      </c>
      <c r="AM89" s="40">
        <f t="shared" si="23"/>
        <v>1618.5</v>
      </c>
      <c r="AN89" s="40">
        <f t="shared" si="23"/>
        <v>1660</v>
      </c>
      <c r="AO89" s="40">
        <f t="shared" si="23"/>
        <v>1701.5</v>
      </c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</row>
    <row r="90" ht="15.75" customHeight="1">
      <c r="A90" s="57" t="s">
        <v>223</v>
      </c>
      <c r="B90" s="40">
        <f t="shared" ref="B90:AO90" si="24">B3*2</f>
        <v>100</v>
      </c>
      <c r="C90" s="40">
        <f t="shared" si="24"/>
        <v>150</v>
      </c>
      <c r="D90" s="40">
        <f t="shared" si="24"/>
        <v>200</v>
      </c>
      <c r="E90" s="40">
        <f t="shared" si="24"/>
        <v>250</v>
      </c>
      <c r="F90" s="40">
        <f t="shared" si="24"/>
        <v>300</v>
      </c>
      <c r="G90" s="40">
        <f t="shared" si="24"/>
        <v>350</v>
      </c>
      <c r="H90" s="40">
        <f t="shared" si="24"/>
        <v>400</v>
      </c>
      <c r="I90" s="40">
        <f t="shared" si="24"/>
        <v>450</v>
      </c>
      <c r="J90" s="40">
        <f t="shared" si="24"/>
        <v>500</v>
      </c>
      <c r="K90" s="40">
        <f t="shared" si="24"/>
        <v>550</v>
      </c>
      <c r="L90" s="40">
        <f t="shared" si="24"/>
        <v>600</v>
      </c>
      <c r="M90" s="40">
        <f t="shared" si="24"/>
        <v>650</v>
      </c>
      <c r="N90" s="40">
        <f t="shared" si="24"/>
        <v>700</v>
      </c>
      <c r="O90" s="40">
        <f t="shared" si="24"/>
        <v>750</v>
      </c>
      <c r="P90" s="40">
        <f t="shared" si="24"/>
        <v>800</v>
      </c>
      <c r="Q90" s="40">
        <f t="shared" si="24"/>
        <v>850</v>
      </c>
      <c r="R90" s="40">
        <f t="shared" si="24"/>
        <v>900</v>
      </c>
      <c r="S90" s="40">
        <f t="shared" si="24"/>
        <v>950</v>
      </c>
      <c r="T90" s="40">
        <f t="shared" si="24"/>
        <v>1000</v>
      </c>
      <c r="U90" s="40">
        <f t="shared" si="24"/>
        <v>1050</v>
      </c>
      <c r="V90" s="40">
        <f t="shared" si="24"/>
        <v>1100</v>
      </c>
      <c r="W90" s="40">
        <f t="shared" si="24"/>
        <v>1150</v>
      </c>
      <c r="X90" s="40">
        <f t="shared" si="24"/>
        <v>1200</v>
      </c>
      <c r="Y90" s="40">
        <f t="shared" si="24"/>
        <v>1250</v>
      </c>
      <c r="Z90" s="40">
        <f t="shared" si="24"/>
        <v>1300</v>
      </c>
      <c r="AA90" s="40">
        <f t="shared" si="24"/>
        <v>1350</v>
      </c>
      <c r="AB90" s="40">
        <f t="shared" si="24"/>
        <v>1400</v>
      </c>
      <c r="AC90" s="40">
        <f t="shared" si="24"/>
        <v>1450</v>
      </c>
      <c r="AD90" s="40">
        <f t="shared" si="24"/>
        <v>1500</v>
      </c>
      <c r="AE90" s="40">
        <f t="shared" si="24"/>
        <v>1550</v>
      </c>
      <c r="AF90" s="40">
        <f t="shared" si="24"/>
        <v>1600</v>
      </c>
      <c r="AG90" s="40">
        <f t="shared" si="24"/>
        <v>1650</v>
      </c>
      <c r="AH90" s="40">
        <f t="shared" si="24"/>
        <v>1700</v>
      </c>
      <c r="AI90" s="40">
        <f t="shared" si="24"/>
        <v>1750</v>
      </c>
      <c r="AJ90" s="40">
        <f t="shared" si="24"/>
        <v>1800</v>
      </c>
      <c r="AK90" s="40">
        <f t="shared" si="24"/>
        <v>1850</v>
      </c>
      <c r="AL90" s="40">
        <f t="shared" si="24"/>
        <v>1900</v>
      </c>
      <c r="AM90" s="40">
        <f t="shared" si="24"/>
        <v>1950</v>
      </c>
      <c r="AN90" s="40">
        <f t="shared" si="24"/>
        <v>2000</v>
      </c>
      <c r="AO90" s="40">
        <f t="shared" si="24"/>
        <v>2050</v>
      </c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</row>
    <row r="91" ht="15.75" customHeight="1">
      <c r="A91" s="57" t="s">
        <v>224</v>
      </c>
      <c r="B91" s="40">
        <f t="shared" ref="B91:AO91" si="25">7.55*12*B16/0.75</f>
        <v>165.1837942</v>
      </c>
      <c r="C91" s="40">
        <f t="shared" si="25"/>
        <v>197.9178571</v>
      </c>
      <c r="D91" s="40">
        <f t="shared" si="25"/>
        <v>230.6519201</v>
      </c>
      <c r="E91" s="40">
        <f t="shared" si="25"/>
        <v>263.3859831</v>
      </c>
      <c r="F91" s="40">
        <f t="shared" si="25"/>
        <v>296.1200461</v>
      </c>
      <c r="G91" s="40">
        <f t="shared" si="25"/>
        <v>328.8541091</v>
      </c>
      <c r="H91" s="40">
        <f t="shared" si="25"/>
        <v>361.588172</v>
      </c>
      <c r="I91" s="40">
        <f t="shared" si="25"/>
        <v>425.6355991</v>
      </c>
      <c r="J91" s="40">
        <f t="shared" si="25"/>
        <v>458.3696621</v>
      </c>
      <c r="K91" s="40">
        <f t="shared" si="25"/>
        <v>491.103725</v>
      </c>
      <c r="L91" s="40">
        <f t="shared" si="25"/>
        <v>523.837788</v>
      </c>
      <c r="M91" s="40">
        <f t="shared" si="25"/>
        <v>556.571851</v>
      </c>
      <c r="N91" s="40">
        <f t="shared" si="25"/>
        <v>589.305914</v>
      </c>
      <c r="O91" s="40">
        <f t="shared" si="25"/>
        <v>622.039977</v>
      </c>
      <c r="P91" s="40">
        <f t="shared" si="25"/>
        <v>654.7740399</v>
      </c>
      <c r="Q91" s="40">
        <f t="shared" si="25"/>
        <v>687.5081029</v>
      </c>
      <c r="R91" s="40">
        <f t="shared" si="25"/>
        <v>751.55553</v>
      </c>
      <c r="S91" s="40">
        <f t="shared" si="25"/>
        <v>803.4255376</v>
      </c>
      <c r="T91" s="40">
        <f t="shared" si="25"/>
        <v>836.1596006</v>
      </c>
      <c r="U91" s="40">
        <f t="shared" si="25"/>
        <v>868.8936636</v>
      </c>
      <c r="V91" s="40">
        <f t="shared" si="25"/>
        <v>901.6277266</v>
      </c>
      <c r="W91" s="40">
        <f t="shared" si="25"/>
        <v>934.3617896</v>
      </c>
      <c r="X91" s="40">
        <f t="shared" si="25"/>
        <v>967.0958525</v>
      </c>
      <c r="Y91" s="40">
        <f t="shared" si="25"/>
        <v>1031.14328</v>
      </c>
      <c r="Z91" s="40">
        <f t="shared" si="25"/>
        <v>1063.877343</v>
      </c>
      <c r="AA91" s="40">
        <f t="shared" si="25"/>
        <v>1096.611406</v>
      </c>
      <c r="AB91" s="40">
        <f t="shared" si="25"/>
        <v>1129.345469</v>
      </c>
      <c r="AC91" s="40">
        <f t="shared" si="25"/>
        <v>1162.079531</v>
      </c>
      <c r="AD91" s="40">
        <f t="shared" si="25"/>
        <v>1194.813594</v>
      </c>
      <c r="AE91" s="40">
        <f t="shared" si="25"/>
        <v>1227.547657</v>
      </c>
      <c r="AF91" s="40">
        <f t="shared" si="25"/>
        <v>1260.28172</v>
      </c>
      <c r="AG91" s="40">
        <f t="shared" si="25"/>
        <v>1324.329147</v>
      </c>
      <c r="AH91" s="40">
        <f t="shared" si="25"/>
        <v>1357.06321</v>
      </c>
      <c r="AI91" s="40">
        <f t="shared" si="25"/>
        <v>1389.797273</v>
      </c>
      <c r="AJ91" s="40">
        <f t="shared" si="25"/>
        <v>1422.531336</v>
      </c>
      <c r="AK91" s="40">
        <f t="shared" si="25"/>
        <v>1455.265399</v>
      </c>
      <c r="AL91" s="40">
        <f t="shared" si="25"/>
        <v>1487.999462</v>
      </c>
      <c r="AM91" s="40">
        <f t="shared" si="25"/>
        <v>1571.182834</v>
      </c>
      <c r="AN91" s="40">
        <f t="shared" si="25"/>
        <v>1603.916897</v>
      </c>
      <c r="AO91" s="40">
        <f t="shared" si="25"/>
        <v>1636.65096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</row>
    <row r="92" ht="15.75" customHeight="1">
      <c r="A92" s="57" t="s">
        <v>225</v>
      </c>
      <c r="B92" s="40">
        <f t="shared" ref="B92:AO92" si="26">60+B16/0.75*15+0.15*B3*12</f>
        <v>177.3483103</v>
      </c>
      <c r="C92" s="40">
        <f t="shared" si="26"/>
        <v>227.7678571</v>
      </c>
      <c r="D92" s="40">
        <f t="shared" si="26"/>
        <v>278.187404</v>
      </c>
      <c r="E92" s="40">
        <f t="shared" si="26"/>
        <v>328.6069508</v>
      </c>
      <c r="F92" s="40">
        <f t="shared" si="26"/>
        <v>379.0264977</v>
      </c>
      <c r="G92" s="40">
        <f t="shared" si="26"/>
        <v>429.4460445</v>
      </c>
      <c r="H92" s="40">
        <f t="shared" si="26"/>
        <v>479.8655914</v>
      </c>
      <c r="I92" s="40">
        <f t="shared" si="26"/>
        <v>535.46947</v>
      </c>
      <c r="J92" s="40">
        <f t="shared" si="26"/>
        <v>585.8890169</v>
      </c>
      <c r="K92" s="40">
        <f t="shared" si="26"/>
        <v>636.3085637</v>
      </c>
      <c r="L92" s="40">
        <f t="shared" si="26"/>
        <v>686.7281106</v>
      </c>
      <c r="M92" s="40">
        <f t="shared" si="26"/>
        <v>737.1476575</v>
      </c>
      <c r="N92" s="40">
        <f t="shared" si="26"/>
        <v>787.5672043</v>
      </c>
      <c r="O92" s="40">
        <f t="shared" si="26"/>
        <v>837.9867512</v>
      </c>
      <c r="P92" s="40">
        <f t="shared" si="26"/>
        <v>888.406298</v>
      </c>
      <c r="Q92" s="40">
        <f t="shared" si="26"/>
        <v>938.8258449</v>
      </c>
      <c r="R92" s="40">
        <f t="shared" si="26"/>
        <v>994.4297235</v>
      </c>
      <c r="S92" s="40">
        <f t="shared" si="26"/>
        <v>1048.017473</v>
      </c>
      <c r="T92" s="40">
        <f t="shared" si="26"/>
        <v>1098.43702</v>
      </c>
      <c r="U92" s="40">
        <f t="shared" si="26"/>
        <v>1148.856567</v>
      </c>
      <c r="V92" s="40">
        <f t="shared" si="26"/>
        <v>1199.276114</v>
      </c>
      <c r="W92" s="40">
        <f t="shared" si="26"/>
        <v>1249.695661</v>
      </c>
      <c r="X92" s="40">
        <f t="shared" si="26"/>
        <v>1300.115207</v>
      </c>
      <c r="Y92" s="40">
        <f t="shared" si="26"/>
        <v>1355.719086</v>
      </c>
      <c r="Z92" s="40">
        <f t="shared" si="26"/>
        <v>1406.138633</v>
      </c>
      <c r="AA92" s="40">
        <f t="shared" si="26"/>
        <v>1456.55818</v>
      </c>
      <c r="AB92" s="40">
        <f t="shared" si="26"/>
        <v>1506.977727</v>
      </c>
      <c r="AC92" s="40">
        <f t="shared" si="26"/>
        <v>1557.397273</v>
      </c>
      <c r="AD92" s="40">
        <f t="shared" si="26"/>
        <v>1607.81682</v>
      </c>
      <c r="AE92" s="40">
        <f t="shared" si="26"/>
        <v>1658.236367</v>
      </c>
      <c r="AF92" s="40">
        <f t="shared" si="26"/>
        <v>1708.655914</v>
      </c>
      <c r="AG92" s="40">
        <f t="shared" si="26"/>
        <v>1764.259793</v>
      </c>
      <c r="AH92" s="40">
        <f t="shared" si="26"/>
        <v>1814.679339</v>
      </c>
      <c r="AI92" s="40">
        <f t="shared" si="26"/>
        <v>1865.098886</v>
      </c>
      <c r="AJ92" s="40">
        <f t="shared" si="26"/>
        <v>1915.518433</v>
      </c>
      <c r="AK92" s="40">
        <f t="shared" si="26"/>
        <v>1965.93798</v>
      </c>
      <c r="AL92" s="40">
        <f t="shared" si="26"/>
        <v>2016.357527</v>
      </c>
      <c r="AM92" s="40">
        <f t="shared" si="26"/>
        <v>2075.129608</v>
      </c>
      <c r="AN92" s="40">
        <f t="shared" si="26"/>
        <v>2125.549155</v>
      </c>
      <c r="AO92" s="40">
        <f t="shared" si="26"/>
        <v>2175.968702</v>
      </c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</row>
    <row r="93" ht="15.75" customHeight="1">
      <c r="A93" s="57" t="s">
        <v>226</v>
      </c>
      <c r="B93" s="40">
        <f t="shared" ref="B93:AO93" si="27">B16/0.75*400</f>
        <v>729.2882744</v>
      </c>
      <c r="C93" s="40">
        <f t="shared" si="27"/>
        <v>873.8095238</v>
      </c>
      <c r="D93" s="40">
        <f t="shared" si="27"/>
        <v>1018.330773</v>
      </c>
      <c r="E93" s="40">
        <f t="shared" si="27"/>
        <v>1162.852023</v>
      </c>
      <c r="F93" s="40">
        <f t="shared" si="27"/>
        <v>1307.373272</v>
      </c>
      <c r="G93" s="40">
        <f t="shared" si="27"/>
        <v>1451.894521</v>
      </c>
      <c r="H93" s="40">
        <f t="shared" si="27"/>
        <v>1596.415771</v>
      </c>
      <c r="I93" s="40">
        <f t="shared" si="27"/>
        <v>1879.185868</v>
      </c>
      <c r="J93" s="40">
        <f t="shared" si="27"/>
        <v>2023.707117</v>
      </c>
      <c r="K93" s="40">
        <f t="shared" si="27"/>
        <v>2168.228367</v>
      </c>
      <c r="L93" s="40">
        <f t="shared" si="27"/>
        <v>2312.749616</v>
      </c>
      <c r="M93" s="40">
        <f t="shared" si="27"/>
        <v>2457.270865</v>
      </c>
      <c r="N93" s="40">
        <f t="shared" si="27"/>
        <v>2601.792115</v>
      </c>
      <c r="O93" s="40">
        <f t="shared" si="27"/>
        <v>2746.313364</v>
      </c>
      <c r="P93" s="40">
        <f t="shared" si="27"/>
        <v>2890.834613</v>
      </c>
      <c r="Q93" s="40">
        <f t="shared" si="27"/>
        <v>3035.355863</v>
      </c>
      <c r="R93" s="40">
        <f t="shared" si="27"/>
        <v>3318.12596</v>
      </c>
      <c r="S93" s="40">
        <f t="shared" si="27"/>
        <v>3547.132616</v>
      </c>
      <c r="T93" s="40">
        <f t="shared" si="27"/>
        <v>3691.653866</v>
      </c>
      <c r="U93" s="40">
        <f t="shared" si="27"/>
        <v>3836.175115</v>
      </c>
      <c r="V93" s="40">
        <f t="shared" si="27"/>
        <v>3980.696365</v>
      </c>
      <c r="W93" s="40">
        <f t="shared" si="27"/>
        <v>4125.217614</v>
      </c>
      <c r="X93" s="40">
        <f t="shared" si="27"/>
        <v>4269.738863</v>
      </c>
      <c r="Y93" s="40">
        <f t="shared" si="27"/>
        <v>4552.508961</v>
      </c>
      <c r="Z93" s="40">
        <f t="shared" si="27"/>
        <v>4697.03021</v>
      </c>
      <c r="AA93" s="40">
        <f t="shared" si="27"/>
        <v>4841.551459</v>
      </c>
      <c r="AB93" s="40">
        <f t="shared" si="27"/>
        <v>4986.072709</v>
      </c>
      <c r="AC93" s="40">
        <f t="shared" si="27"/>
        <v>5130.593958</v>
      </c>
      <c r="AD93" s="40">
        <f t="shared" si="27"/>
        <v>5275.115207</v>
      </c>
      <c r="AE93" s="40">
        <f t="shared" si="27"/>
        <v>5419.636457</v>
      </c>
      <c r="AF93" s="40">
        <f t="shared" si="27"/>
        <v>5564.157706</v>
      </c>
      <c r="AG93" s="40">
        <f t="shared" si="27"/>
        <v>5846.927803</v>
      </c>
      <c r="AH93" s="40">
        <f t="shared" si="27"/>
        <v>5991.449053</v>
      </c>
      <c r="AI93" s="40">
        <f t="shared" si="27"/>
        <v>6135.970302</v>
      </c>
      <c r="AJ93" s="40">
        <f t="shared" si="27"/>
        <v>6280.491551</v>
      </c>
      <c r="AK93" s="40">
        <f t="shared" si="27"/>
        <v>6425.012801</v>
      </c>
      <c r="AL93" s="40">
        <f t="shared" si="27"/>
        <v>6569.53405</v>
      </c>
      <c r="AM93" s="40">
        <f t="shared" si="27"/>
        <v>6936.789555</v>
      </c>
      <c r="AN93" s="40">
        <f t="shared" si="27"/>
        <v>7081.310804</v>
      </c>
      <c r="AO93" s="40">
        <f t="shared" si="27"/>
        <v>7225.832053</v>
      </c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</row>
    <row r="94" ht="15.75" customHeight="1">
      <c r="A94" s="57" t="s">
        <v>227</v>
      </c>
      <c r="B94" s="40">
        <f t="shared" ref="B94:AO94" si="28">B16/0.75*200</f>
        <v>364.6441372</v>
      </c>
      <c r="C94" s="40">
        <f t="shared" si="28"/>
        <v>436.9047619</v>
      </c>
      <c r="D94" s="40">
        <f t="shared" si="28"/>
        <v>509.1653866</v>
      </c>
      <c r="E94" s="40">
        <f t="shared" si="28"/>
        <v>581.4260113</v>
      </c>
      <c r="F94" s="40">
        <f t="shared" si="28"/>
        <v>653.6866359</v>
      </c>
      <c r="G94" s="40">
        <f t="shared" si="28"/>
        <v>725.9472606</v>
      </c>
      <c r="H94" s="40">
        <f t="shared" si="28"/>
        <v>798.2078853</v>
      </c>
      <c r="I94" s="40">
        <f t="shared" si="28"/>
        <v>939.5929339</v>
      </c>
      <c r="J94" s="40">
        <f t="shared" si="28"/>
        <v>1011.853559</v>
      </c>
      <c r="K94" s="40">
        <f t="shared" si="28"/>
        <v>1084.114183</v>
      </c>
      <c r="L94" s="40">
        <f t="shared" si="28"/>
        <v>1156.374808</v>
      </c>
      <c r="M94" s="40">
        <f t="shared" si="28"/>
        <v>1228.635433</v>
      </c>
      <c r="N94" s="40">
        <f t="shared" si="28"/>
        <v>1300.896057</v>
      </c>
      <c r="O94" s="40">
        <f t="shared" si="28"/>
        <v>1373.156682</v>
      </c>
      <c r="P94" s="40">
        <f t="shared" si="28"/>
        <v>1445.417307</v>
      </c>
      <c r="Q94" s="40">
        <f t="shared" si="28"/>
        <v>1517.677931</v>
      </c>
      <c r="R94" s="40">
        <f t="shared" si="28"/>
        <v>1659.06298</v>
      </c>
      <c r="S94" s="40">
        <f t="shared" si="28"/>
        <v>1773.566308</v>
      </c>
      <c r="T94" s="40">
        <f t="shared" si="28"/>
        <v>1845.826933</v>
      </c>
      <c r="U94" s="40">
        <f t="shared" si="28"/>
        <v>1918.087558</v>
      </c>
      <c r="V94" s="40">
        <f t="shared" si="28"/>
        <v>1990.348182</v>
      </c>
      <c r="W94" s="40">
        <f t="shared" si="28"/>
        <v>2062.608807</v>
      </c>
      <c r="X94" s="40">
        <f t="shared" si="28"/>
        <v>2134.869432</v>
      </c>
      <c r="Y94" s="40">
        <f t="shared" si="28"/>
        <v>2276.25448</v>
      </c>
      <c r="Z94" s="40">
        <f t="shared" si="28"/>
        <v>2348.515105</v>
      </c>
      <c r="AA94" s="40">
        <f t="shared" si="28"/>
        <v>2420.77573</v>
      </c>
      <c r="AB94" s="40">
        <f t="shared" si="28"/>
        <v>2493.036354</v>
      </c>
      <c r="AC94" s="40">
        <f t="shared" si="28"/>
        <v>2565.296979</v>
      </c>
      <c r="AD94" s="40">
        <f t="shared" si="28"/>
        <v>2637.557604</v>
      </c>
      <c r="AE94" s="40">
        <f t="shared" si="28"/>
        <v>2709.818228</v>
      </c>
      <c r="AF94" s="40">
        <f t="shared" si="28"/>
        <v>2782.078853</v>
      </c>
      <c r="AG94" s="40">
        <f t="shared" si="28"/>
        <v>2923.463902</v>
      </c>
      <c r="AH94" s="40">
        <f t="shared" si="28"/>
        <v>2995.724526</v>
      </c>
      <c r="AI94" s="40">
        <f t="shared" si="28"/>
        <v>3067.985151</v>
      </c>
      <c r="AJ94" s="40">
        <f t="shared" si="28"/>
        <v>3140.245776</v>
      </c>
      <c r="AK94" s="40">
        <f t="shared" si="28"/>
        <v>3212.5064</v>
      </c>
      <c r="AL94" s="40">
        <f t="shared" si="28"/>
        <v>3284.767025</v>
      </c>
      <c r="AM94" s="40">
        <f t="shared" si="28"/>
        <v>3468.394777</v>
      </c>
      <c r="AN94" s="40">
        <f t="shared" si="28"/>
        <v>3540.655402</v>
      </c>
      <c r="AO94" s="40">
        <f t="shared" si="28"/>
        <v>3612.916027</v>
      </c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</row>
    <row r="95" ht="15.75" customHeight="1">
      <c r="A95" s="57" t="s">
        <v>228</v>
      </c>
      <c r="B95" s="40">
        <v>1000.0</v>
      </c>
      <c r="C95" s="40">
        <v>1000.0</v>
      </c>
      <c r="D95" s="40">
        <v>1000.0</v>
      </c>
      <c r="E95" s="40">
        <v>1000.0</v>
      </c>
      <c r="F95" s="40">
        <v>1000.0</v>
      </c>
      <c r="G95" s="40">
        <v>1000.0</v>
      </c>
      <c r="H95" s="40">
        <v>1000.0</v>
      </c>
      <c r="I95" s="40">
        <v>1000.0</v>
      </c>
      <c r="J95" s="40">
        <v>1000.0</v>
      </c>
      <c r="K95" s="40">
        <v>1000.0</v>
      </c>
      <c r="L95" s="40">
        <v>1000.0</v>
      </c>
      <c r="M95" s="40">
        <v>1000.0</v>
      </c>
      <c r="N95" s="40">
        <v>1000.0</v>
      </c>
      <c r="O95" s="40">
        <v>1000.0</v>
      </c>
      <c r="P95" s="40">
        <v>1000.0</v>
      </c>
      <c r="Q95" s="40">
        <v>1000.0</v>
      </c>
      <c r="R95" s="40">
        <v>1000.0</v>
      </c>
      <c r="S95" s="40">
        <v>1000.0</v>
      </c>
      <c r="T95" s="40">
        <v>1000.0</v>
      </c>
      <c r="U95" s="40">
        <v>1000.0</v>
      </c>
      <c r="V95" s="40">
        <v>1000.0</v>
      </c>
      <c r="W95" s="40">
        <v>1000.0</v>
      </c>
      <c r="X95" s="40">
        <v>1000.0</v>
      </c>
      <c r="Y95" s="40">
        <v>1000.0</v>
      </c>
      <c r="Z95" s="40">
        <v>1000.0</v>
      </c>
      <c r="AA95" s="40">
        <v>1000.0</v>
      </c>
      <c r="AB95" s="40">
        <v>1000.0</v>
      </c>
      <c r="AC95" s="40">
        <v>1000.0</v>
      </c>
      <c r="AD95" s="40">
        <v>1000.0</v>
      </c>
      <c r="AE95" s="40">
        <v>1000.0</v>
      </c>
      <c r="AF95" s="40">
        <v>1000.0</v>
      </c>
      <c r="AG95" s="40">
        <v>1000.0</v>
      </c>
      <c r="AH95" s="40">
        <v>1000.0</v>
      </c>
      <c r="AI95" s="40">
        <v>1000.0</v>
      </c>
      <c r="AJ95" s="40">
        <v>1000.0</v>
      </c>
      <c r="AK95" s="40">
        <v>1000.0</v>
      </c>
      <c r="AL95" s="40">
        <v>1000.0</v>
      </c>
      <c r="AM95" s="40">
        <v>1000.0</v>
      </c>
      <c r="AN95" s="40">
        <v>1000.0</v>
      </c>
      <c r="AO95" s="40">
        <v>1000.0</v>
      </c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</row>
    <row r="96" ht="15.75" customHeight="1">
      <c r="A96" s="57" t="s">
        <v>229</v>
      </c>
      <c r="B96" s="40">
        <v>2500.0</v>
      </c>
      <c r="C96" s="40">
        <v>2500.0</v>
      </c>
      <c r="D96" s="40">
        <v>2500.0</v>
      </c>
      <c r="E96" s="40">
        <v>2500.0</v>
      </c>
      <c r="F96" s="40">
        <v>2500.0</v>
      </c>
      <c r="G96" s="40">
        <v>2500.0</v>
      </c>
      <c r="H96" s="40">
        <v>2500.0</v>
      </c>
      <c r="I96" s="40">
        <v>2500.0</v>
      </c>
      <c r="J96" s="40">
        <v>2500.0</v>
      </c>
      <c r="K96" s="40">
        <v>2500.0</v>
      </c>
      <c r="L96" s="40">
        <v>2500.0</v>
      </c>
      <c r="M96" s="40">
        <v>2500.0</v>
      </c>
      <c r="N96" s="40">
        <v>2500.0</v>
      </c>
      <c r="O96" s="40">
        <v>2500.0</v>
      </c>
      <c r="P96" s="40">
        <v>2500.0</v>
      </c>
      <c r="Q96" s="40">
        <v>2500.0</v>
      </c>
      <c r="R96" s="40">
        <v>2500.0</v>
      </c>
      <c r="S96" s="40">
        <v>2500.0</v>
      </c>
      <c r="T96" s="40">
        <v>2500.0</v>
      </c>
      <c r="U96" s="40">
        <v>2500.0</v>
      </c>
      <c r="V96" s="40">
        <v>2500.0</v>
      </c>
      <c r="W96" s="40">
        <v>2500.0</v>
      </c>
      <c r="X96" s="40">
        <v>2500.0</v>
      </c>
      <c r="Y96" s="40">
        <v>2500.0</v>
      </c>
      <c r="Z96" s="40">
        <v>2500.0</v>
      </c>
      <c r="AA96" s="40">
        <v>2500.0</v>
      </c>
      <c r="AB96" s="40">
        <v>2500.0</v>
      </c>
      <c r="AC96" s="40">
        <v>2500.0</v>
      </c>
      <c r="AD96" s="40">
        <v>2500.0</v>
      </c>
      <c r="AE96" s="40">
        <v>2500.0</v>
      </c>
      <c r="AF96" s="40">
        <v>2500.0</v>
      </c>
      <c r="AG96" s="40">
        <v>2500.0</v>
      </c>
      <c r="AH96" s="40">
        <v>2500.0</v>
      </c>
      <c r="AI96" s="40">
        <v>2500.0</v>
      </c>
      <c r="AJ96" s="40">
        <v>2500.0</v>
      </c>
      <c r="AK96" s="40">
        <v>2500.0</v>
      </c>
      <c r="AL96" s="40">
        <v>2500.0</v>
      </c>
      <c r="AM96" s="40">
        <v>2500.0</v>
      </c>
      <c r="AN96" s="40">
        <v>2500.0</v>
      </c>
      <c r="AO96" s="40">
        <v>2500.0</v>
      </c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</row>
    <row r="97" ht="15.75" customHeight="1">
      <c r="A97" s="57" t="s">
        <v>230</v>
      </c>
      <c r="B97" s="40">
        <f t="shared" ref="B97:AO97" si="29">36.9*12</f>
        <v>442.8</v>
      </c>
      <c r="C97" s="40">
        <f t="shared" si="29"/>
        <v>442.8</v>
      </c>
      <c r="D97" s="40">
        <f t="shared" si="29"/>
        <v>442.8</v>
      </c>
      <c r="E97" s="40">
        <f t="shared" si="29"/>
        <v>442.8</v>
      </c>
      <c r="F97" s="40">
        <f t="shared" si="29"/>
        <v>442.8</v>
      </c>
      <c r="G97" s="40">
        <f t="shared" si="29"/>
        <v>442.8</v>
      </c>
      <c r="H97" s="40">
        <f t="shared" si="29"/>
        <v>442.8</v>
      </c>
      <c r="I97" s="40">
        <f t="shared" si="29"/>
        <v>442.8</v>
      </c>
      <c r="J97" s="40">
        <f t="shared" si="29"/>
        <v>442.8</v>
      </c>
      <c r="K97" s="40">
        <f t="shared" si="29"/>
        <v>442.8</v>
      </c>
      <c r="L97" s="40">
        <f t="shared" si="29"/>
        <v>442.8</v>
      </c>
      <c r="M97" s="40">
        <f t="shared" si="29"/>
        <v>442.8</v>
      </c>
      <c r="N97" s="40">
        <f t="shared" si="29"/>
        <v>442.8</v>
      </c>
      <c r="O97" s="40">
        <f t="shared" si="29"/>
        <v>442.8</v>
      </c>
      <c r="P97" s="40">
        <f t="shared" si="29"/>
        <v>442.8</v>
      </c>
      <c r="Q97" s="40">
        <f t="shared" si="29"/>
        <v>442.8</v>
      </c>
      <c r="R97" s="40">
        <f t="shared" si="29"/>
        <v>442.8</v>
      </c>
      <c r="S97" s="40">
        <f t="shared" si="29"/>
        <v>442.8</v>
      </c>
      <c r="T97" s="40">
        <f t="shared" si="29"/>
        <v>442.8</v>
      </c>
      <c r="U97" s="40">
        <f t="shared" si="29"/>
        <v>442.8</v>
      </c>
      <c r="V97" s="40">
        <f t="shared" si="29"/>
        <v>442.8</v>
      </c>
      <c r="W97" s="40">
        <f t="shared" si="29"/>
        <v>442.8</v>
      </c>
      <c r="X97" s="40">
        <f t="shared" si="29"/>
        <v>442.8</v>
      </c>
      <c r="Y97" s="40">
        <f t="shared" si="29"/>
        <v>442.8</v>
      </c>
      <c r="Z97" s="40">
        <f t="shared" si="29"/>
        <v>442.8</v>
      </c>
      <c r="AA97" s="40">
        <f t="shared" si="29"/>
        <v>442.8</v>
      </c>
      <c r="AB97" s="40">
        <f t="shared" si="29"/>
        <v>442.8</v>
      </c>
      <c r="AC97" s="40">
        <f t="shared" si="29"/>
        <v>442.8</v>
      </c>
      <c r="AD97" s="40">
        <f t="shared" si="29"/>
        <v>442.8</v>
      </c>
      <c r="AE97" s="40">
        <f t="shared" si="29"/>
        <v>442.8</v>
      </c>
      <c r="AF97" s="40">
        <f t="shared" si="29"/>
        <v>442.8</v>
      </c>
      <c r="AG97" s="40">
        <f t="shared" si="29"/>
        <v>442.8</v>
      </c>
      <c r="AH97" s="40">
        <f t="shared" si="29"/>
        <v>442.8</v>
      </c>
      <c r="AI97" s="40">
        <f t="shared" si="29"/>
        <v>442.8</v>
      </c>
      <c r="AJ97" s="40">
        <f t="shared" si="29"/>
        <v>442.8</v>
      </c>
      <c r="AK97" s="40">
        <f t="shared" si="29"/>
        <v>442.8</v>
      </c>
      <c r="AL97" s="40">
        <f t="shared" si="29"/>
        <v>442.8</v>
      </c>
      <c r="AM97" s="40">
        <f t="shared" si="29"/>
        <v>442.8</v>
      </c>
      <c r="AN97" s="40">
        <f t="shared" si="29"/>
        <v>442.8</v>
      </c>
      <c r="AO97" s="40">
        <f t="shared" si="29"/>
        <v>442.8</v>
      </c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</row>
    <row r="98" ht="15.75" customHeight="1">
      <c r="A98" s="57" t="s">
        <v>231</v>
      </c>
      <c r="B98" s="40">
        <v>361.5</v>
      </c>
      <c r="C98" s="40">
        <v>361.5</v>
      </c>
      <c r="D98" s="40">
        <v>361.5</v>
      </c>
      <c r="E98" s="40">
        <v>361.5</v>
      </c>
      <c r="F98" s="40">
        <v>361.5</v>
      </c>
      <c r="G98" s="40">
        <v>361.5</v>
      </c>
      <c r="H98" s="40">
        <v>361.5</v>
      </c>
      <c r="I98" s="40">
        <v>361.5</v>
      </c>
      <c r="J98" s="40">
        <v>361.5</v>
      </c>
      <c r="K98" s="40">
        <v>361.5</v>
      </c>
      <c r="L98" s="40">
        <v>361.5</v>
      </c>
      <c r="M98" s="40">
        <v>361.5</v>
      </c>
      <c r="N98" s="40">
        <v>361.5</v>
      </c>
      <c r="O98" s="40">
        <v>361.5</v>
      </c>
      <c r="P98" s="40">
        <v>361.5</v>
      </c>
      <c r="Q98" s="40">
        <v>361.5</v>
      </c>
      <c r="R98" s="40">
        <v>361.5</v>
      </c>
      <c r="S98" s="40">
        <v>361.5</v>
      </c>
      <c r="T98" s="40">
        <v>361.5</v>
      </c>
      <c r="U98" s="40">
        <v>361.5</v>
      </c>
      <c r="V98" s="40">
        <v>361.5</v>
      </c>
      <c r="W98" s="40">
        <v>361.5</v>
      </c>
      <c r="X98" s="40">
        <v>361.5</v>
      </c>
      <c r="Y98" s="40">
        <v>361.5</v>
      </c>
      <c r="Z98" s="40">
        <v>361.5</v>
      </c>
      <c r="AA98" s="40">
        <v>361.5</v>
      </c>
      <c r="AB98" s="40">
        <v>361.5</v>
      </c>
      <c r="AC98" s="40">
        <v>361.5</v>
      </c>
      <c r="AD98" s="40">
        <v>361.5</v>
      </c>
      <c r="AE98" s="40">
        <v>361.5</v>
      </c>
      <c r="AF98" s="40">
        <v>361.5</v>
      </c>
      <c r="AG98" s="40">
        <v>361.5</v>
      </c>
      <c r="AH98" s="40">
        <v>361.5</v>
      </c>
      <c r="AI98" s="40">
        <v>361.5</v>
      </c>
      <c r="AJ98" s="40">
        <v>361.5</v>
      </c>
      <c r="AK98" s="40">
        <v>361.5</v>
      </c>
      <c r="AL98" s="40">
        <v>361.5</v>
      </c>
      <c r="AM98" s="40">
        <v>361.5</v>
      </c>
      <c r="AN98" s="40">
        <v>361.5</v>
      </c>
      <c r="AO98" s="40">
        <v>361.5</v>
      </c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</row>
    <row r="100" ht="15.75" customHeight="1">
      <c r="A100" s="1" t="s">
        <v>232</v>
      </c>
      <c r="B100" s="40">
        <f>Datengrundlage!$C$40*12</f>
        <v>0</v>
      </c>
      <c r="C100" s="40">
        <f>Datengrundlage!$C$40*12</f>
        <v>0</v>
      </c>
      <c r="D100" s="40">
        <f>Datengrundlage!$C$40*12</f>
        <v>0</v>
      </c>
      <c r="E100" s="40">
        <f>Datengrundlage!$C$40*12</f>
        <v>0</v>
      </c>
      <c r="F100" s="40">
        <f>Datengrundlage!$C$40*12</f>
        <v>0</v>
      </c>
      <c r="G100" s="40">
        <f>Datengrundlage!$C$40*12</f>
        <v>0</v>
      </c>
      <c r="H100" s="40">
        <f>Datengrundlage!$C$40*12</f>
        <v>0</v>
      </c>
      <c r="I100" s="40">
        <f>Datengrundlage!$C$40*12</f>
        <v>0</v>
      </c>
      <c r="J100" s="40">
        <f>Datengrundlage!$C$40*12</f>
        <v>0</v>
      </c>
      <c r="K100" s="40">
        <f>Datengrundlage!$C$40*12</f>
        <v>0</v>
      </c>
      <c r="L100" s="40">
        <f>Datengrundlage!$C$40*12</f>
        <v>0</v>
      </c>
      <c r="M100" s="40">
        <f>Datengrundlage!$C$40*12</f>
        <v>0</v>
      </c>
      <c r="N100" s="40">
        <f>Datengrundlage!$C$40*12</f>
        <v>0</v>
      </c>
      <c r="O100" s="40">
        <f>Datengrundlage!$C$40*12</f>
        <v>0</v>
      </c>
      <c r="P100" s="40">
        <f>Datengrundlage!$C$40*12</f>
        <v>0</v>
      </c>
      <c r="Q100" s="40">
        <f>Datengrundlage!$C$40*12</f>
        <v>0</v>
      </c>
      <c r="R100" s="40">
        <f>Datengrundlage!$C$40*12</f>
        <v>0</v>
      </c>
      <c r="S100" s="40">
        <f>Datengrundlage!$C$40*12</f>
        <v>0</v>
      </c>
      <c r="T100" s="40">
        <f>Datengrundlage!$C$40*12</f>
        <v>0</v>
      </c>
      <c r="U100" s="40">
        <f>Datengrundlage!$C$40*12</f>
        <v>0</v>
      </c>
      <c r="V100" s="40">
        <f>Datengrundlage!$C$40*12</f>
        <v>0</v>
      </c>
      <c r="W100" s="40">
        <f>Datengrundlage!$C$40*12</f>
        <v>0</v>
      </c>
      <c r="X100" s="40">
        <f>Datengrundlage!$C$40*12</f>
        <v>0</v>
      </c>
      <c r="Y100" s="40">
        <f>Datengrundlage!$C$40*12</f>
        <v>0</v>
      </c>
      <c r="Z100" s="40">
        <f>Datengrundlage!$C$40*12</f>
        <v>0</v>
      </c>
      <c r="AA100" s="40">
        <f>Datengrundlage!$C$40*12</f>
        <v>0</v>
      </c>
      <c r="AB100" s="40">
        <f>Datengrundlage!$C$40*12</f>
        <v>0</v>
      </c>
      <c r="AC100" s="40">
        <f>Datengrundlage!$C$40*12</f>
        <v>0</v>
      </c>
      <c r="AD100" s="40">
        <f>Datengrundlage!$C$40*12</f>
        <v>0</v>
      </c>
      <c r="AE100" s="40">
        <f>Datengrundlage!$C$40*12</f>
        <v>0</v>
      </c>
      <c r="AF100" s="40">
        <f>Datengrundlage!$C$40*12</f>
        <v>0</v>
      </c>
      <c r="AG100" s="40">
        <f>Datengrundlage!$C$40*12</f>
        <v>0</v>
      </c>
      <c r="AH100" s="40">
        <f>Datengrundlage!$C$40*12</f>
        <v>0</v>
      </c>
      <c r="AI100" s="40">
        <f>Datengrundlage!$C$40*12</f>
        <v>0</v>
      </c>
      <c r="AJ100" s="40">
        <f>Datengrundlage!$C$40*12</f>
        <v>0</v>
      </c>
      <c r="AK100" s="40">
        <f>Datengrundlage!$C$40*12</f>
        <v>0</v>
      </c>
      <c r="AL100" s="40">
        <f>Datengrundlage!$C$40*12</f>
        <v>0</v>
      </c>
      <c r="AM100" s="40">
        <f>Datengrundlage!$C$40*12</f>
        <v>0</v>
      </c>
      <c r="AN100" s="40">
        <f>Datengrundlage!$C$40*12</f>
        <v>0</v>
      </c>
      <c r="AO100" s="40">
        <f>Datengrundlage!$C$40*12</f>
        <v>0</v>
      </c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</row>
    <row r="101" ht="15.75" customHeight="1">
      <c r="A101" s="1" t="s">
        <v>233</v>
      </c>
      <c r="B101" s="40">
        <f>Datengrundlage!$C$41*11</f>
        <v>1155</v>
      </c>
      <c r="C101" s="40">
        <f>Datengrundlage!$C$41*12</f>
        <v>1260</v>
      </c>
      <c r="D101" s="40">
        <f>Datengrundlage!$C$41*12</f>
        <v>1260</v>
      </c>
      <c r="E101" s="40">
        <f>Datengrundlage!$C$41*12</f>
        <v>1260</v>
      </c>
      <c r="F101" s="40">
        <f>Datengrundlage!$C$41*12</f>
        <v>1260</v>
      </c>
      <c r="G101" s="40">
        <f>Datengrundlage!$C$41*12</f>
        <v>1260</v>
      </c>
      <c r="H101" s="40">
        <f>Datengrundlage!$C$41*12</f>
        <v>1260</v>
      </c>
      <c r="I101" s="40">
        <f>Datengrundlage!$C$41*12</f>
        <v>1260</v>
      </c>
      <c r="J101" s="40">
        <f>Datengrundlage!$C$41*12</f>
        <v>1260</v>
      </c>
      <c r="K101" s="40">
        <f>Datengrundlage!$C$41*12</f>
        <v>1260</v>
      </c>
      <c r="L101" s="40">
        <f>Datengrundlage!$C$41*12</f>
        <v>1260</v>
      </c>
      <c r="M101" s="40">
        <f>Datengrundlage!$C$41*12</f>
        <v>1260</v>
      </c>
      <c r="N101" s="40">
        <f>Datengrundlage!$C$41*12</f>
        <v>1260</v>
      </c>
      <c r="O101" s="40">
        <f>Datengrundlage!$C$41*12</f>
        <v>1260</v>
      </c>
      <c r="P101" s="40">
        <f>Datengrundlage!$C$41*12</f>
        <v>1260</v>
      </c>
      <c r="Q101" s="40">
        <f>Datengrundlage!$C$41*12</f>
        <v>1260</v>
      </c>
      <c r="R101" s="40">
        <f>Datengrundlage!$C$41*12</f>
        <v>1260</v>
      </c>
      <c r="S101" s="40">
        <f>Datengrundlage!$C$41*12</f>
        <v>1260</v>
      </c>
      <c r="T101" s="40">
        <f>Datengrundlage!$C$41*12</f>
        <v>1260</v>
      </c>
      <c r="U101" s="40">
        <f>Datengrundlage!$C$41*12</f>
        <v>1260</v>
      </c>
      <c r="V101" s="40">
        <f>Datengrundlage!$C$41*12</f>
        <v>1260</v>
      </c>
      <c r="W101" s="40">
        <f>Datengrundlage!$C$41*12</f>
        <v>1260</v>
      </c>
      <c r="X101" s="40">
        <f>Datengrundlage!$C$41*12</f>
        <v>1260</v>
      </c>
      <c r="Y101" s="40">
        <f>Datengrundlage!$C$41*12</f>
        <v>1260</v>
      </c>
      <c r="Z101" s="40">
        <f>Datengrundlage!$C$41*12</f>
        <v>1260</v>
      </c>
      <c r="AA101" s="40">
        <f>Datengrundlage!$C$41*12</f>
        <v>1260</v>
      </c>
      <c r="AB101" s="40">
        <f>Datengrundlage!$C$41*12</f>
        <v>1260</v>
      </c>
      <c r="AC101" s="40">
        <f>Datengrundlage!$C$41*12</f>
        <v>1260</v>
      </c>
      <c r="AD101" s="40">
        <f>Datengrundlage!$C$41*12</f>
        <v>1260</v>
      </c>
      <c r="AE101" s="40">
        <f>Datengrundlage!$C$41*12</f>
        <v>1260</v>
      </c>
      <c r="AF101" s="40">
        <f>Datengrundlage!$C$41*12</f>
        <v>1260</v>
      </c>
      <c r="AG101" s="40">
        <f>Datengrundlage!$C$41*12</f>
        <v>1260</v>
      </c>
      <c r="AH101" s="40">
        <f>Datengrundlage!$C$41*12</f>
        <v>1260</v>
      </c>
      <c r="AI101" s="40">
        <f>Datengrundlage!$C$41*12</f>
        <v>1260</v>
      </c>
      <c r="AJ101" s="40">
        <f>Datengrundlage!$C$41*12</f>
        <v>1260</v>
      </c>
      <c r="AK101" s="40">
        <f>Datengrundlage!$C$41*12</f>
        <v>1260</v>
      </c>
      <c r="AL101" s="40">
        <f>Datengrundlage!$C$41*12</f>
        <v>1260</v>
      </c>
      <c r="AM101" s="40">
        <f>Datengrundlage!$C$41*12</f>
        <v>1260</v>
      </c>
      <c r="AN101" s="40">
        <f>Datengrundlage!$C$41*12</f>
        <v>1260</v>
      </c>
      <c r="AO101" s="40">
        <f>Datengrundlage!$C$41*12</f>
        <v>1260</v>
      </c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</row>
    <row r="102" ht="15.75" hidden="1" customHeight="1">
      <c r="A102" s="1" t="s">
        <v>234</v>
      </c>
      <c r="B102" s="40">
        <f>Datengrundlage!$C$42*12</f>
        <v>0</v>
      </c>
      <c r="C102" s="40">
        <f>Datengrundlage!$C$42*12</f>
        <v>0</v>
      </c>
      <c r="D102" s="47">
        <f>Datengrundlage!$C$42*12</f>
        <v>0</v>
      </c>
      <c r="E102" s="40">
        <f>Datengrundlage!$C$42*12</f>
        <v>0</v>
      </c>
      <c r="F102" s="40">
        <f>Datengrundlage!$C$42*12</f>
        <v>0</v>
      </c>
      <c r="G102" s="40">
        <f>Datengrundlage!$C$42*12</f>
        <v>0</v>
      </c>
      <c r="H102" s="40">
        <f>Datengrundlage!$C$42*12</f>
        <v>0</v>
      </c>
      <c r="I102" s="40">
        <f>Datengrundlage!$C$42*12</f>
        <v>0</v>
      </c>
      <c r="J102" s="40">
        <f>Datengrundlage!$C$42*12</f>
        <v>0</v>
      </c>
      <c r="K102" s="40">
        <f>Datengrundlage!$C$42*12</f>
        <v>0</v>
      </c>
      <c r="L102" s="40">
        <f>Datengrundlage!$C$42*12</f>
        <v>0</v>
      </c>
      <c r="M102" s="40">
        <f>Datengrundlage!$C$42*12</f>
        <v>0</v>
      </c>
      <c r="N102" s="40">
        <f>Datengrundlage!$C$42*12</f>
        <v>0</v>
      </c>
      <c r="O102" s="40">
        <f>Datengrundlage!$C$42*12</f>
        <v>0</v>
      </c>
      <c r="P102" s="40">
        <f>Datengrundlage!$C$42*12</f>
        <v>0</v>
      </c>
      <c r="Q102" s="40">
        <f>Datengrundlage!$C$42*12</f>
        <v>0</v>
      </c>
      <c r="R102" s="40">
        <f>Datengrundlage!$C$42*12</f>
        <v>0</v>
      </c>
      <c r="S102" s="40">
        <f>Datengrundlage!$C$42*12</f>
        <v>0</v>
      </c>
      <c r="T102" s="40">
        <f>Datengrundlage!$C$42*12</f>
        <v>0</v>
      </c>
      <c r="U102" s="40">
        <f>Datengrundlage!$C$42*12</f>
        <v>0</v>
      </c>
      <c r="V102" s="40">
        <f>Datengrundlage!$C$42*12</f>
        <v>0</v>
      </c>
      <c r="W102" s="40">
        <f>Datengrundlage!$C$42*12</f>
        <v>0</v>
      </c>
      <c r="X102" s="40">
        <f>Datengrundlage!$C$42*12</f>
        <v>0</v>
      </c>
      <c r="Y102" s="40">
        <f>Datengrundlage!$C$42*12</f>
        <v>0</v>
      </c>
      <c r="Z102" s="40">
        <f>Datengrundlage!$C$42*12</f>
        <v>0</v>
      </c>
      <c r="AA102" s="40">
        <f>Datengrundlage!$C$42*12</f>
        <v>0</v>
      </c>
      <c r="AB102" s="40">
        <f>Datengrundlage!$C$42*12</f>
        <v>0</v>
      </c>
      <c r="AC102" s="40">
        <f>Datengrundlage!$C$42*12</f>
        <v>0</v>
      </c>
      <c r="AD102" s="40">
        <f>Datengrundlage!$C$42*12</f>
        <v>0</v>
      </c>
      <c r="AE102" s="40">
        <f>Datengrundlage!$C$42*12</f>
        <v>0</v>
      </c>
      <c r="AF102" s="40">
        <f>Datengrundlage!$C$42*12</f>
        <v>0</v>
      </c>
      <c r="AG102" s="40">
        <f>Datengrundlage!$C$42*12</f>
        <v>0</v>
      </c>
      <c r="AH102" s="40">
        <f>Datengrundlage!$C$42*12</f>
        <v>0</v>
      </c>
      <c r="AI102" s="40">
        <f>Datengrundlage!$C$42*12</f>
        <v>0</v>
      </c>
      <c r="AJ102" s="40">
        <f>Datengrundlage!$C$42*12</f>
        <v>0</v>
      </c>
      <c r="AK102" s="40">
        <f>Datengrundlage!$C$42*12</f>
        <v>0</v>
      </c>
      <c r="AL102" s="40">
        <f>Datengrundlage!$C$42*12</f>
        <v>0</v>
      </c>
      <c r="AM102" s="40">
        <f>Datengrundlage!$C$42*12</f>
        <v>0</v>
      </c>
      <c r="AN102" s="40">
        <f>Datengrundlage!$C$42*12</f>
        <v>0</v>
      </c>
      <c r="AO102" s="40">
        <f>Datengrundlage!$C$42*12</f>
        <v>0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</row>
    <row r="103" ht="15.75" hidden="1" customHeight="1">
      <c r="A103" s="1" t="s">
        <v>235</v>
      </c>
      <c r="B103" s="40">
        <f>Datengrundlage!$C$43*12</f>
        <v>0</v>
      </c>
      <c r="C103" s="40">
        <f>Datengrundlage!$C$43*12</f>
        <v>0</v>
      </c>
      <c r="D103" s="47">
        <f>Datengrundlage!$C$43*12</f>
        <v>0</v>
      </c>
      <c r="E103" s="40">
        <f>Datengrundlage!$C$43*12</f>
        <v>0</v>
      </c>
      <c r="F103" s="40">
        <f>Datengrundlage!$C$43*12</f>
        <v>0</v>
      </c>
      <c r="G103" s="40">
        <f>Datengrundlage!$C$43*12</f>
        <v>0</v>
      </c>
      <c r="H103" s="40">
        <f>Datengrundlage!$C$43*12</f>
        <v>0</v>
      </c>
      <c r="I103" s="40">
        <f>Datengrundlage!$C$43*12</f>
        <v>0</v>
      </c>
      <c r="J103" s="40">
        <f>Datengrundlage!$C$43*12</f>
        <v>0</v>
      </c>
      <c r="K103" s="40">
        <f>Datengrundlage!$C$43*12</f>
        <v>0</v>
      </c>
      <c r="L103" s="40">
        <f>Datengrundlage!$C$43*12</f>
        <v>0</v>
      </c>
      <c r="M103" s="40">
        <f>Datengrundlage!$C$43*12</f>
        <v>0</v>
      </c>
      <c r="N103" s="40">
        <f>Datengrundlage!$C$43*12</f>
        <v>0</v>
      </c>
      <c r="O103" s="40">
        <f>Datengrundlage!$C$43*12</f>
        <v>0</v>
      </c>
      <c r="P103" s="40">
        <f>Datengrundlage!$C$43*12</f>
        <v>0</v>
      </c>
      <c r="Q103" s="40">
        <f>Datengrundlage!$C$43*12</f>
        <v>0</v>
      </c>
      <c r="R103" s="40">
        <f>Datengrundlage!$C$43*12</f>
        <v>0</v>
      </c>
      <c r="S103" s="40">
        <f>Datengrundlage!$C$43*12</f>
        <v>0</v>
      </c>
      <c r="T103" s="40">
        <f>Datengrundlage!$C$43*12</f>
        <v>0</v>
      </c>
      <c r="U103" s="40">
        <f>Datengrundlage!$C$43*12</f>
        <v>0</v>
      </c>
      <c r="V103" s="40">
        <f>Datengrundlage!$C$43*12</f>
        <v>0</v>
      </c>
      <c r="W103" s="40">
        <f>Datengrundlage!$C$43*12</f>
        <v>0</v>
      </c>
      <c r="X103" s="40">
        <f>Datengrundlage!$C$43*12</f>
        <v>0</v>
      </c>
      <c r="Y103" s="40">
        <f>Datengrundlage!$C$43*12</f>
        <v>0</v>
      </c>
      <c r="Z103" s="40">
        <f>Datengrundlage!$C$43*12</f>
        <v>0</v>
      </c>
      <c r="AA103" s="40">
        <f>Datengrundlage!$C$43*12</f>
        <v>0</v>
      </c>
      <c r="AB103" s="40">
        <f>Datengrundlage!$C$43*12</f>
        <v>0</v>
      </c>
      <c r="AC103" s="40">
        <f>Datengrundlage!$C$43*12</f>
        <v>0</v>
      </c>
      <c r="AD103" s="40">
        <f>Datengrundlage!$C$43*12</f>
        <v>0</v>
      </c>
      <c r="AE103" s="40">
        <f>Datengrundlage!$C$43*12</f>
        <v>0</v>
      </c>
      <c r="AF103" s="40">
        <f>Datengrundlage!$C$43*12</f>
        <v>0</v>
      </c>
      <c r="AG103" s="40">
        <f>Datengrundlage!$C$43*12</f>
        <v>0</v>
      </c>
      <c r="AH103" s="40">
        <f>Datengrundlage!$C$43*12</f>
        <v>0</v>
      </c>
      <c r="AI103" s="40">
        <f>Datengrundlage!$C$43*12</f>
        <v>0</v>
      </c>
      <c r="AJ103" s="40">
        <f>Datengrundlage!$C$43*12</f>
        <v>0</v>
      </c>
      <c r="AK103" s="40">
        <f>Datengrundlage!$C$43*12</f>
        <v>0</v>
      </c>
      <c r="AL103" s="40">
        <f>Datengrundlage!$C$43*12</f>
        <v>0</v>
      </c>
      <c r="AM103" s="40">
        <f>Datengrundlage!$C$43*12</f>
        <v>0</v>
      </c>
      <c r="AN103" s="40">
        <f>Datengrundlage!$C$43*12</f>
        <v>0</v>
      </c>
      <c r="AO103" s="40">
        <f>Datengrundlage!$C$43*12</f>
        <v>0</v>
      </c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</row>
    <row r="104" ht="15.75" hidden="1" customHeight="1">
      <c r="A104" s="12"/>
      <c r="B104" s="12"/>
      <c r="C104" s="12"/>
      <c r="D104" s="50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</row>
    <row r="105" ht="15.75" hidden="1" customHeight="1">
      <c r="A105" s="5" t="s">
        <v>236</v>
      </c>
      <c r="B105" s="5">
        <v>0.0</v>
      </c>
      <c r="C105" s="5">
        <v>0.0</v>
      </c>
      <c r="D105" s="59">
        <v>0.0</v>
      </c>
      <c r="E105" s="5">
        <v>0.0</v>
      </c>
      <c r="F105" s="5">
        <v>0.0</v>
      </c>
      <c r="G105" s="5">
        <v>0.0</v>
      </c>
      <c r="H105" s="5">
        <v>0.0</v>
      </c>
      <c r="I105" s="5">
        <v>0.0</v>
      </c>
      <c r="J105" s="5">
        <v>0.0</v>
      </c>
      <c r="K105" s="5">
        <v>0.0</v>
      </c>
      <c r="L105" s="5">
        <v>0.0</v>
      </c>
      <c r="M105" s="5">
        <v>0.0</v>
      </c>
      <c r="N105" s="5">
        <v>0.0</v>
      </c>
      <c r="O105" s="5">
        <v>0.0</v>
      </c>
      <c r="P105" s="5">
        <v>0.0</v>
      </c>
      <c r="Q105" s="5">
        <v>0.0</v>
      </c>
      <c r="R105" s="5">
        <v>0.0</v>
      </c>
      <c r="S105" s="5">
        <v>0.0</v>
      </c>
      <c r="T105" s="5">
        <v>0.0</v>
      </c>
      <c r="U105" s="5">
        <v>0.0</v>
      </c>
      <c r="V105" s="5">
        <v>0.0</v>
      </c>
      <c r="W105" s="5">
        <v>0.0</v>
      </c>
      <c r="X105" s="5">
        <v>0.0</v>
      </c>
      <c r="Y105" s="5">
        <v>0.0</v>
      </c>
      <c r="Z105" s="5">
        <v>0.0</v>
      </c>
      <c r="AA105" s="5">
        <v>0.0</v>
      </c>
      <c r="AB105" s="5">
        <v>0.0</v>
      </c>
      <c r="AC105" s="5">
        <v>0.0</v>
      </c>
      <c r="AD105" s="5">
        <v>0.0</v>
      </c>
      <c r="AE105" s="5">
        <v>0.0</v>
      </c>
      <c r="AF105" s="5">
        <v>0.0</v>
      </c>
      <c r="AG105" s="5">
        <v>0.0</v>
      </c>
      <c r="AH105" s="5">
        <v>0.0</v>
      </c>
      <c r="AI105" s="5">
        <v>0.0</v>
      </c>
      <c r="AJ105" s="5">
        <v>0.0</v>
      </c>
      <c r="AK105" s="5">
        <v>0.0</v>
      </c>
      <c r="AL105" s="5">
        <v>0.0</v>
      </c>
      <c r="AM105" s="5">
        <v>0.0</v>
      </c>
      <c r="AN105" s="5">
        <v>0.0</v>
      </c>
      <c r="AO105" s="5">
        <v>0.0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</row>
    <row r="107" ht="15.75" customHeight="1">
      <c r="A107" s="60" t="s">
        <v>237</v>
      </c>
      <c r="B107" s="61">
        <f t="shared" ref="B107:AO107" si="30">B28-B42</f>
        <v>-19833.30599</v>
      </c>
      <c r="C107" s="61">
        <f t="shared" si="30"/>
        <v>-13229.68406</v>
      </c>
      <c r="D107" s="61">
        <f t="shared" si="30"/>
        <v>-6276.062136</v>
      </c>
      <c r="E107" s="62">
        <f t="shared" si="30"/>
        <v>677.5597916</v>
      </c>
      <c r="F107" s="62">
        <f t="shared" si="30"/>
        <v>7631.181719</v>
      </c>
      <c r="G107" s="62">
        <f t="shared" si="30"/>
        <v>14584.80365</v>
      </c>
      <c r="H107" s="62">
        <f t="shared" si="30"/>
        <v>21538.42557</v>
      </c>
      <c r="I107" s="53" t="str">
        <f t="shared" si="30"/>
        <v>#REF!</v>
      </c>
      <c r="J107" s="53" t="str">
        <f t="shared" si="30"/>
        <v>#REF!</v>
      </c>
      <c r="K107" s="63" t="str">
        <f t="shared" si="30"/>
        <v>#REF!</v>
      </c>
      <c r="L107" s="53" t="str">
        <f t="shared" si="30"/>
        <v>#REF!</v>
      </c>
      <c r="M107" s="53" t="str">
        <f t="shared" si="30"/>
        <v>#REF!</v>
      </c>
      <c r="N107" s="53" t="str">
        <f t="shared" si="30"/>
        <v>#REF!</v>
      </c>
      <c r="O107" s="53" t="str">
        <f t="shared" si="30"/>
        <v>#REF!</v>
      </c>
      <c r="P107" s="53" t="str">
        <f t="shared" si="30"/>
        <v>#REF!</v>
      </c>
      <c r="Q107" s="53" t="str">
        <f t="shared" si="30"/>
        <v>#REF!</v>
      </c>
      <c r="R107" s="53" t="str">
        <f t="shared" si="30"/>
        <v>#REF!</v>
      </c>
      <c r="S107" s="53" t="str">
        <f t="shared" si="30"/>
        <v>#REF!</v>
      </c>
      <c r="T107" s="53" t="str">
        <f t="shared" si="30"/>
        <v>#REF!</v>
      </c>
      <c r="U107" s="53" t="str">
        <f t="shared" si="30"/>
        <v>#REF!</v>
      </c>
      <c r="V107" s="53" t="str">
        <f t="shared" si="30"/>
        <v>#REF!</v>
      </c>
      <c r="W107" s="53" t="str">
        <f t="shared" si="30"/>
        <v>#REF!</v>
      </c>
      <c r="X107" s="53" t="str">
        <f t="shared" si="30"/>
        <v>#REF!</v>
      </c>
      <c r="Y107" s="53" t="str">
        <f t="shared" si="30"/>
        <v>#REF!</v>
      </c>
      <c r="Z107" s="53" t="str">
        <f t="shared" si="30"/>
        <v>#REF!</v>
      </c>
      <c r="AA107" s="53" t="str">
        <f t="shared" si="30"/>
        <v>#REF!</v>
      </c>
      <c r="AB107" s="53" t="str">
        <f t="shared" si="30"/>
        <v>#REF!</v>
      </c>
      <c r="AC107" s="53" t="str">
        <f t="shared" si="30"/>
        <v>#REF!</v>
      </c>
      <c r="AD107" s="53" t="str">
        <f t="shared" si="30"/>
        <v>#REF!</v>
      </c>
      <c r="AE107" s="53" t="str">
        <f t="shared" si="30"/>
        <v>#REF!</v>
      </c>
      <c r="AF107" s="53" t="str">
        <f t="shared" si="30"/>
        <v>#REF!</v>
      </c>
      <c r="AG107" s="53" t="str">
        <f t="shared" si="30"/>
        <v>#REF!</v>
      </c>
      <c r="AH107" s="53" t="str">
        <f t="shared" si="30"/>
        <v>#REF!</v>
      </c>
      <c r="AI107" s="53" t="str">
        <f t="shared" si="30"/>
        <v>#REF!</v>
      </c>
      <c r="AJ107" s="53" t="str">
        <f t="shared" si="30"/>
        <v>#REF!</v>
      </c>
      <c r="AK107" s="53" t="str">
        <f t="shared" si="30"/>
        <v>#REF!</v>
      </c>
      <c r="AL107" s="53" t="str">
        <f t="shared" si="30"/>
        <v>#REF!</v>
      </c>
      <c r="AM107" s="53" t="str">
        <f t="shared" si="30"/>
        <v>#REF!</v>
      </c>
      <c r="AN107" s="53" t="str">
        <f t="shared" si="30"/>
        <v>#REF!</v>
      </c>
      <c r="AO107" s="53" t="str">
        <f t="shared" si="30"/>
        <v>#REF!</v>
      </c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</row>
    <row r="108" ht="15.75" customHeight="1">
      <c r="A108" s="64"/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v>0.0</v>
      </c>
      <c r="L108" s="38">
        <v>0.0</v>
      </c>
      <c r="M108" s="38">
        <v>0.0</v>
      </c>
      <c r="N108" s="38">
        <v>0.0</v>
      </c>
      <c r="O108" s="38">
        <v>0.0</v>
      </c>
      <c r="P108" s="38">
        <v>0.0</v>
      </c>
      <c r="Q108" s="38">
        <v>0.0</v>
      </c>
      <c r="R108" s="38">
        <v>0.0</v>
      </c>
      <c r="S108" s="38">
        <v>0.0</v>
      </c>
      <c r="T108" s="38">
        <v>0.0</v>
      </c>
      <c r="U108" s="38">
        <v>0.0</v>
      </c>
      <c r="V108" s="38">
        <v>0.0</v>
      </c>
      <c r="W108" s="38">
        <v>0.0</v>
      </c>
      <c r="X108" s="38">
        <v>0.0</v>
      </c>
      <c r="Y108" s="38">
        <v>0.0</v>
      </c>
      <c r="Z108" s="38">
        <v>0.0</v>
      </c>
      <c r="AA108" s="38">
        <v>0.0</v>
      </c>
      <c r="AB108" s="38">
        <v>0.0</v>
      </c>
      <c r="AC108" s="38">
        <v>0.0</v>
      </c>
      <c r="AD108" s="38">
        <v>0.0</v>
      </c>
      <c r="AE108" s="38">
        <v>0.0</v>
      </c>
      <c r="AF108" s="38">
        <v>0.0</v>
      </c>
      <c r="AG108" s="38">
        <v>0.0</v>
      </c>
      <c r="AH108" s="38">
        <v>0.0</v>
      </c>
      <c r="AI108" s="38">
        <v>0.0</v>
      </c>
      <c r="AJ108" s="38">
        <v>0.0</v>
      </c>
      <c r="AK108" s="38">
        <v>0.0</v>
      </c>
      <c r="AL108" s="38">
        <v>0.0</v>
      </c>
      <c r="AM108" s="38">
        <v>0.0</v>
      </c>
      <c r="AN108" s="38">
        <v>0.0</v>
      </c>
      <c r="AO108" s="38">
        <v>0.0</v>
      </c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</row>
    <row r="109" ht="15.75" customHeight="1">
      <c r="A109" s="1" t="s">
        <v>238</v>
      </c>
      <c r="B109" s="65">
        <v>600.0</v>
      </c>
      <c r="C109" s="65">
        <v>600.0</v>
      </c>
      <c r="D109" s="65">
        <v>600.0</v>
      </c>
      <c r="E109" s="65">
        <v>600.0</v>
      </c>
      <c r="F109" s="65">
        <v>600.0</v>
      </c>
      <c r="G109" s="65">
        <v>600.0</v>
      </c>
      <c r="H109" s="65">
        <v>600.0</v>
      </c>
      <c r="I109" s="65">
        <v>600.0</v>
      </c>
      <c r="J109" s="65">
        <v>600.0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</row>
    <row r="110" ht="15.75" customHeight="1">
      <c r="A110" s="37" t="s">
        <v>239</v>
      </c>
      <c r="B110" s="53">
        <f t="shared" ref="B110:J110" si="31">B107-B109</f>
        <v>-20433.30599</v>
      </c>
      <c r="C110" s="53">
        <f t="shared" si="31"/>
        <v>-13829.68406</v>
      </c>
      <c r="D110" s="53">
        <f t="shared" si="31"/>
        <v>-6876.062136</v>
      </c>
      <c r="E110" s="53">
        <f t="shared" si="31"/>
        <v>77.5597916</v>
      </c>
      <c r="F110" s="53">
        <f t="shared" si="31"/>
        <v>7031.181719</v>
      </c>
      <c r="G110" s="53">
        <f t="shared" si="31"/>
        <v>13984.80365</v>
      </c>
      <c r="H110" s="53">
        <f t="shared" si="31"/>
        <v>20938.42557</v>
      </c>
      <c r="I110" s="53" t="str">
        <f t="shared" si="31"/>
        <v>#REF!</v>
      </c>
      <c r="J110" s="53" t="str">
        <f t="shared" si="31"/>
        <v>#REF!</v>
      </c>
      <c r="K110" s="63" t="str">
        <f t="shared" ref="K110:AO110" si="32">K107</f>
        <v>#REF!</v>
      </c>
      <c r="L110" s="53" t="str">
        <f t="shared" si="32"/>
        <v>#REF!</v>
      </c>
      <c r="M110" s="53" t="str">
        <f t="shared" si="32"/>
        <v>#REF!</v>
      </c>
      <c r="N110" s="53" t="str">
        <f t="shared" si="32"/>
        <v>#REF!</v>
      </c>
      <c r="O110" s="53" t="str">
        <f t="shared" si="32"/>
        <v>#REF!</v>
      </c>
      <c r="P110" s="53" t="str">
        <f t="shared" si="32"/>
        <v>#REF!</v>
      </c>
      <c r="Q110" s="53" t="str">
        <f t="shared" si="32"/>
        <v>#REF!</v>
      </c>
      <c r="R110" s="53" t="str">
        <f t="shared" si="32"/>
        <v>#REF!</v>
      </c>
      <c r="S110" s="53" t="str">
        <f t="shared" si="32"/>
        <v>#REF!</v>
      </c>
      <c r="T110" s="53" t="str">
        <f t="shared" si="32"/>
        <v>#REF!</v>
      </c>
      <c r="U110" s="53" t="str">
        <f t="shared" si="32"/>
        <v>#REF!</v>
      </c>
      <c r="V110" s="53" t="str">
        <f t="shared" si="32"/>
        <v>#REF!</v>
      </c>
      <c r="W110" s="53" t="str">
        <f t="shared" si="32"/>
        <v>#REF!</v>
      </c>
      <c r="X110" s="53" t="str">
        <f t="shared" si="32"/>
        <v>#REF!</v>
      </c>
      <c r="Y110" s="53" t="str">
        <f t="shared" si="32"/>
        <v>#REF!</v>
      </c>
      <c r="Z110" s="53" t="str">
        <f t="shared" si="32"/>
        <v>#REF!</v>
      </c>
      <c r="AA110" s="53" t="str">
        <f t="shared" si="32"/>
        <v>#REF!</v>
      </c>
      <c r="AB110" s="53" t="str">
        <f t="shared" si="32"/>
        <v>#REF!</v>
      </c>
      <c r="AC110" s="53" t="str">
        <f t="shared" si="32"/>
        <v>#REF!</v>
      </c>
      <c r="AD110" s="53" t="str">
        <f t="shared" si="32"/>
        <v>#REF!</v>
      </c>
      <c r="AE110" s="53" t="str">
        <f t="shared" si="32"/>
        <v>#REF!</v>
      </c>
      <c r="AF110" s="53" t="str">
        <f t="shared" si="32"/>
        <v>#REF!</v>
      </c>
      <c r="AG110" s="53" t="str">
        <f t="shared" si="32"/>
        <v>#REF!</v>
      </c>
      <c r="AH110" s="53" t="str">
        <f t="shared" si="32"/>
        <v>#REF!</v>
      </c>
      <c r="AI110" s="53" t="str">
        <f t="shared" si="32"/>
        <v>#REF!</v>
      </c>
      <c r="AJ110" s="53" t="str">
        <f t="shared" si="32"/>
        <v>#REF!</v>
      </c>
      <c r="AK110" s="53" t="str">
        <f t="shared" si="32"/>
        <v>#REF!</v>
      </c>
      <c r="AL110" s="53" t="str">
        <f t="shared" si="32"/>
        <v>#REF!</v>
      </c>
      <c r="AM110" s="53" t="str">
        <f t="shared" si="32"/>
        <v>#REF!</v>
      </c>
      <c r="AN110" s="53" t="str">
        <f t="shared" si="32"/>
        <v>#REF!</v>
      </c>
      <c r="AO110" s="53" t="str">
        <f t="shared" si="32"/>
        <v>#REF!</v>
      </c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</row>
    <row r="111" ht="15.75" customHeight="1">
      <c r="A111" s="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</row>
    <row r="112" ht="15.75" customHeight="1">
      <c r="A112" s="1" t="s">
        <v>240</v>
      </c>
      <c r="B112" s="40">
        <f>IF(B107&gt;0,(B110*Datengrundlage!$C$49/100),0)</f>
        <v>0</v>
      </c>
      <c r="C112" s="40">
        <f>IF(C107&gt;0,(C110*Datengrundlage!$C$49/100),0)</f>
        <v>0</v>
      </c>
      <c r="D112" s="40">
        <f>IF(D107&gt;0,(D110*Datengrundlage!$C$49/100),0)</f>
        <v>0</v>
      </c>
      <c r="E112" s="40">
        <f>IF(E107&gt;0,(E110*Datengrundlage!$C$49/100),0)</f>
        <v>11.63396874</v>
      </c>
      <c r="F112" s="40">
        <f>IF(F107&gt;0,(F110*Datengrundlage!$C$49/100),0)</f>
        <v>1054.677258</v>
      </c>
      <c r="G112" s="40">
        <f>IF(G107&gt;0,(G110*Datengrundlage!$C$49/100),0)</f>
        <v>2097.720547</v>
      </c>
      <c r="H112" s="40">
        <f>IF(H107&gt;0,(H110*Datengrundlage!$C$49/100),0)</f>
        <v>3140.763836</v>
      </c>
      <c r="I112" s="40" t="str">
        <f>IF(I107&gt;0,(I110*Datengrundlage!$C$49/100),0)</f>
        <v>#REF!</v>
      </c>
      <c r="J112" s="40" t="str">
        <f>IF(J107&gt;0,(J110*Datengrundlage!$C$49/100),0)</f>
        <v>#REF!</v>
      </c>
      <c r="K112" s="40" t="str">
        <f>IF(K107&gt;0,(K110*Datengrundlage!$C$49/100),0)</f>
        <v>#REF!</v>
      </c>
      <c r="L112" s="40" t="str">
        <f>L110*Datengrundlage!$C$49/100</f>
        <v>#REF!</v>
      </c>
      <c r="M112" s="40" t="str">
        <f>M110*Datengrundlage!$C$49/100</f>
        <v>#REF!</v>
      </c>
      <c r="N112" s="40" t="str">
        <f>N110*Datengrundlage!$C$49/100</f>
        <v>#REF!</v>
      </c>
      <c r="O112" s="40" t="str">
        <f>O110*Datengrundlage!$C$49/100</f>
        <v>#REF!</v>
      </c>
      <c r="P112" s="40" t="str">
        <f>P110*Datengrundlage!$C$49/100</f>
        <v>#REF!</v>
      </c>
      <c r="Q112" s="40" t="str">
        <f>Q110*Datengrundlage!$C$49/100</f>
        <v>#REF!</v>
      </c>
      <c r="R112" s="40" t="str">
        <f>R110*Datengrundlage!$C$49/100</f>
        <v>#REF!</v>
      </c>
      <c r="S112" s="40" t="str">
        <f>S110*Datengrundlage!$C$49/100</f>
        <v>#REF!</v>
      </c>
      <c r="T112" s="40" t="str">
        <f>T110*Datengrundlage!$C$49/100</f>
        <v>#REF!</v>
      </c>
      <c r="U112" s="40" t="str">
        <f>U110*Datengrundlage!$C$49/100</f>
        <v>#REF!</v>
      </c>
      <c r="V112" s="40" t="str">
        <f>V110*Datengrundlage!$C$49/100</f>
        <v>#REF!</v>
      </c>
      <c r="W112" s="40" t="str">
        <f>W110*Datengrundlage!$C$49/100</f>
        <v>#REF!</v>
      </c>
      <c r="X112" s="40" t="str">
        <f>X110*Datengrundlage!$C$49/100</f>
        <v>#REF!</v>
      </c>
      <c r="Y112" s="40" t="str">
        <f>Y110*Datengrundlage!$C$49/100</f>
        <v>#REF!</v>
      </c>
      <c r="Z112" s="40" t="str">
        <f>Z110*Datengrundlage!$C$49/100</f>
        <v>#REF!</v>
      </c>
      <c r="AA112" s="40" t="str">
        <f>AA110*Datengrundlage!$C$49/100</f>
        <v>#REF!</v>
      </c>
      <c r="AB112" s="40" t="str">
        <f>AB110*Datengrundlage!$C$49/100</f>
        <v>#REF!</v>
      </c>
      <c r="AC112" s="40" t="str">
        <f>AC110*Datengrundlage!$C$49/100</f>
        <v>#REF!</v>
      </c>
      <c r="AD112" s="40" t="str">
        <f>AD110*Datengrundlage!$C$49/100</f>
        <v>#REF!</v>
      </c>
      <c r="AE112" s="40" t="str">
        <f>AE110*Datengrundlage!$C$49/100</f>
        <v>#REF!</v>
      </c>
      <c r="AF112" s="40" t="str">
        <f>AF110*Datengrundlage!$C$49/100</f>
        <v>#REF!</v>
      </c>
      <c r="AG112" s="40" t="str">
        <f>AG110*Datengrundlage!$C$49/100</f>
        <v>#REF!</v>
      </c>
      <c r="AH112" s="40" t="str">
        <f>AH110*Datengrundlage!$C$49/100</f>
        <v>#REF!</v>
      </c>
      <c r="AI112" s="40" t="str">
        <f>AI110*Datengrundlage!$C$49/100</f>
        <v>#REF!</v>
      </c>
      <c r="AJ112" s="40" t="str">
        <f>AJ110*Datengrundlage!$C$49/100</f>
        <v>#REF!</v>
      </c>
      <c r="AK112" s="40" t="str">
        <f>AK110*Datengrundlage!$C$49/100</f>
        <v>#REF!</v>
      </c>
      <c r="AL112" s="40" t="str">
        <f>AL110*Datengrundlage!$C$49/100</f>
        <v>#REF!</v>
      </c>
      <c r="AM112" s="40" t="str">
        <f>AM110*Datengrundlage!$C$49/100</f>
        <v>#REF!</v>
      </c>
      <c r="AN112" s="40" t="str">
        <f>AN110*Datengrundlage!$C$49/100</f>
        <v>#REF!</v>
      </c>
      <c r="AO112" s="40" t="str">
        <f>AO110*Datengrundlage!$C$49/100</f>
        <v>#REF!</v>
      </c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</row>
    <row r="113" ht="15.75" customHeight="1">
      <c r="A113" s="1" t="s">
        <v>241</v>
      </c>
      <c r="B113" s="40">
        <f>B112*Datengrundlage!$C$50/100</f>
        <v>0</v>
      </c>
      <c r="C113" s="40">
        <f>C112*Datengrundlage!$C$50/100</f>
        <v>0</v>
      </c>
      <c r="D113" s="40">
        <f>D112*Datengrundlage!$C$50/100</f>
        <v>0</v>
      </c>
      <c r="E113" s="40">
        <f>E112*Datengrundlage!$C$50/100</f>
        <v>0.6398682807</v>
      </c>
      <c r="F113" s="40">
        <f>F112*Datengrundlage!$C$50/100</f>
        <v>58.00724918</v>
      </c>
      <c r="G113" s="40">
        <f>G112*Datengrundlage!$C$50/100</f>
        <v>115.3746301</v>
      </c>
      <c r="H113" s="40">
        <f>H112*Datengrundlage!$C$50/100</f>
        <v>172.742011</v>
      </c>
      <c r="I113" s="40" t="str">
        <f>I112*Datengrundlage!$C$50/100</f>
        <v>#REF!</v>
      </c>
      <c r="J113" s="40" t="str">
        <f>J112*Datengrundlage!$C$50/100</f>
        <v>#REF!</v>
      </c>
      <c r="K113" s="40" t="str">
        <f>K112*Datengrundlage!$C$50/100</f>
        <v>#REF!</v>
      </c>
      <c r="L113" s="40" t="str">
        <f>L112*Datengrundlage!$C$50/100</f>
        <v>#REF!</v>
      </c>
      <c r="M113" s="40" t="str">
        <f>M112*Datengrundlage!$C$50/100</f>
        <v>#REF!</v>
      </c>
      <c r="N113" s="40" t="str">
        <f>N112*Datengrundlage!$C$50/100</f>
        <v>#REF!</v>
      </c>
      <c r="O113" s="40" t="str">
        <f>O112*Datengrundlage!$C$50/100</f>
        <v>#REF!</v>
      </c>
      <c r="P113" s="40" t="str">
        <f>P112*Datengrundlage!$C$50/100</f>
        <v>#REF!</v>
      </c>
      <c r="Q113" s="40" t="str">
        <f>Q112*Datengrundlage!$C$50/100</f>
        <v>#REF!</v>
      </c>
      <c r="R113" s="40" t="str">
        <f>R112*Datengrundlage!$C$50/100</f>
        <v>#REF!</v>
      </c>
      <c r="S113" s="40" t="str">
        <f>S112*Datengrundlage!$C$50/100</f>
        <v>#REF!</v>
      </c>
      <c r="T113" s="40" t="str">
        <f>T112*Datengrundlage!$C$50/100</f>
        <v>#REF!</v>
      </c>
      <c r="U113" s="40" t="str">
        <f>U112*Datengrundlage!$C$50/100</f>
        <v>#REF!</v>
      </c>
      <c r="V113" s="40" t="str">
        <f>V112*Datengrundlage!$C$50/100</f>
        <v>#REF!</v>
      </c>
      <c r="W113" s="40" t="str">
        <f>W112*Datengrundlage!$C$50/100</f>
        <v>#REF!</v>
      </c>
      <c r="X113" s="40" t="str">
        <f>X112*Datengrundlage!$C$50/100</f>
        <v>#REF!</v>
      </c>
      <c r="Y113" s="40" t="str">
        <f>Y112*Datengrundlage!$C$50/100</f>
        <v>#REF!</v>
      </c>
      <c r="Z113" s="40" t="str">
        <f>Z112*Datengrundlage!$C$50/100</f>
        <v>#REF!</v>
      </c>
      <c r="AA113" s="40" t="str">
        <f>AA112*Datengrundlage!$C$50/100</f>
        <v>#REF!</v>
      </c>
      <c r="AB113" s="40" t="str">
        <f>AB112*Datengrundlage!$C$50/100</f>
        <v>#REF!</v>
      </c>
      <c r="AC113" s="40" t="str">
        <f>AC112*Datengrundlage!$C$50/100</f>
        <v>#REF!</v>
      </c>
      <c r="AD113" s="40" t="str">
        <f>AD112*Datengrundlage!$C$50/100</f>
        <v>#REF!</v>
      </c>
      <c r="AE113" s="40" t="str">
        <f>AE112*Datengrundlage!$C$50/100</f>
        <v>#REF!</v>
      </c>
      <c r="AF113" s="40" t="str">
        <f>AF112*Datengrundlage!$C$50/100</f>
        <v>#REF!</v>
      </c>
      <c r="AG113" s="40" t="str">
        <f>AG112*Datengrundlage!$C$50/100</f>
        <v>#REF!</v>
      </c>
      <c r="AH113" s="40" t="str">
        <f>AH112*Datengrundlage!$C$50/100</f>
        <v>#REF!</v>
      </c>
      <c r="AI113" s="40" t="str">
        <f>AI112*Datengrundlage!$C$50/100</f>
        <v>#REF!</v>
      </c>
      <c r="AJ113" s="40" t="str">
        <f>AJ112*Datengrundlage!$C$50/100</f>
        <v>#REF!</v>
      </c>
      <c r="AK113" s="40" t="str">
        <f>AK112*Datengrundlage!$C$50/100</f>
        <v>#REF!</v>
      </c>
      <c r="AL113" s="40" t="str">
        <f>AL112*Datengrundlage!$C$50/100</f>
        <v>#REF!</v>
      </c>
      <c r="AM113" s="40" t="str">
        <f>AM112*Datengrundlage!$C$50/100</f>
        <v>#REF!</v>
      </c>
      <c r="AN113" s="40" t="str">
        <f>AN112*Datengrundlage!$C$50/100</f>
        <v>#REF!</v>
      </c>
      <c r="AO113" s="40" t="str">
        <f>AO112*Datengrundlage!$C$50/100</f>
        <v>#REF!</v>
      </c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</row>
    <row r="114" ht="15.75" customHeight="1">
      <c r="A114" s="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</row>
    <row r="115" ht="15.75" customHeight="1">
      <c r="A115" s="60" t="s">
        <v>242</v>
      </c>
      <c r="B115" s="61">
        <f t="shared" ref="B115:AO115" si="33">B110-B112-B113</f>
        <v>-20433.30599</v>
      </c>
      <c r="C115" s="61">
        <f t="shared" si="33"/>
        <v>-13829.68406</v>
      </c>
      <c r="D115" s="61">
        <f t="shared" si="33"/>
        <v>-6876.062136</v>
      </c>
      <c r="E115" s="62">
        <f t="shared" si="33"/>
        <v>65.28595458</v>
      </c>
      <c r="F115" s="62">
        <f t="shared" si="33"/>
        <v>5918.497212</v>
      </c>
      <c r="G115" s="62">
        <f t="shared" si="33"/>
        <v>11771.70847</v>
      </c>
      <c r="H115" s="62">
        <f t="shared" si="33"/>
        <v>17624.91973</v>
      </c>
      <c r="I115" s="53" t="str">
        <f t="shared" si="33"/>
        <v>#REF!</v>
      </c>
      <c r="J115" s="53" t="str">
        <f t="shared" si="33"/>
        <v>#REF!</v>
      </c>
      <c r="K115" s="63" t="str">
        <f t="shared" si="33"/>
        <v>#REF!</v>
      </c>
      <c r="L115" s="53" t="str">
        <f t="shared" si="33"/>
        <v>#REF!</v>
      </c>
      <c r="M115" s="53" t="str">
        <f t="shared" si="33"/>
        <v>#REF!</v>
      </c>
      <c r="N115" s="53" t="str">
        <f t="shared" si="33"/>
        <v>#REF!</v>
      </c>
      <c r="O115" s="53" t="str">
        <f t="shared" si="33"/>
        <v>#REF!</v>
      </c>
      <c r="P115" s="53" t="str">
        <f t="shared" si="33"/>
        <v>#REF!</v>
      </c>
      <c r="Q115" s="53" t="str">
        <f t="shared" si="33"/>
        <v>#REF!</v>
      </c>
      <c r="R115" s="53" t="str">
        <f t="shared" si="33"/>
        <v>#REF!</v>
      </c>
      <c r="S115" s="53" t="str">
        <f t="shared" si="33"/>
        <v>#REF!</v>
      </c>
      <c r="T115" s="53" t="str">
        <f t="shared" si="33"/>
        <v>#REF!</v>
      </c>
      <c r="U115" s="53" t="str">
        <f t="shared" si="33"/>
        <v>#REF!</v>
      </c>
      <c r="V115" s="53" t="str">
        <f t="shared" si="33"/>
        <v>#REF!</v>
      </c>
      <c r="W115" s="53" t="str">
        <f t="shared" si="33"/>
        <v>#REF!</v>
      </c>
      <c r="X115" s="53" t="str">
        <f t="shared" si="33"/>
        <v>#REF!</v>
      </c>
      <c r="Y115" s="53" t="str">
        <f t="shared" si="33"/>
        <v>#REF!</v>
      </c>
      <c r="Z115" s="53" t="str">
        <f t="shared" si="33"/>
        <v>#REF!</v>
      </c>
      <c r="AA115" s="53" t="str">
        <f t="shared" si="33"/>
        <v>#REF!</v>
      </c>
      <c r="AB115" s="53" t="str">
        <f t="shared" si="33"/>
        <v>#REF!</v>
      </c>
      <c r="AC115" s="53" t="str">
        <f t="shared" si="33"/>
        <v>#REF!</v>
      </c>
      <c r="AD115" s="53" t="str">
        <f t="shared" si="33"/>
        <v>#REF!</v>
      </c>
      <c r="AE115" s="53" t="str">
        <f t="shared" si="33"/>
        <v>#REF!</v>
      </c>
      <c r="AF115" s="53" t="str">
        <f t="shared" si="33"/>
        <v>#REF!</v>
      </c>
      <c r="AG115" s="53" t="str">
        <f t="shared" si="33"/>
        <v>#REF!</v>
      </c>
      <c r="AH115" s="53" t="str">
        <f t="shared" si="33"/>
        <v>#REF!</v>
      </c>
      <c r="AI115" s="53" t="str">
        <f t="shared" si="33"/>
        <v>#REF!</v>
      </c>
      <c r="AJ115" s="53" t="str">
        <f t="shared" si="33"/>
        <v>#REF!</v>
      </c>
      <c r="AK115" s="53" t="str">
        <f t="shared" si="33"/>
        <v>#REF!</v>
      </c>
      <c r="AL115" s="53" t="str">
        <f t="shared" si="33"/>
        <v>#REF!</v>
      </c>
      <c r="AM115" s="53" t="str">
        <f t="shared" si="33"/>
        <v>#REF!</v>
      </c>
      <c r="AN115" s="53" t="str">
        <f t="shared" si="33"/>
        <v>#REF!</v>
      </c>
      <c r="AO115" s="53" t="str">
        <f t="shared" si="33"/>
        <v>#REF!</v>
      </c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</row>
    <row r="116" ht="15.75" customHeight="1">
      <c r="A116" s="1" t="s">
        <v>243</v>
      </c>
      <c r="B116" s="65">
        <v>6000.0</v>
      </c>
      <c r="C116" s="65">
        <v>6000.0</v>
      </c>
      <c r="D116" s="65">
        <v>6000.0</v>
      </c>
      <c r="E116" s="65">
        <v>6000.0</v>
      </c>
      <c r="F116" s="65">
        <v>6000.0</v>
      </c>
      <c r="G116" s="65">
        <v>6000.0</v>
      </c>
      <c r="H116" s="65">
        <v>6000.0</v>
      </c>
      <c r="I116" s="65">
        <v>6000.0</v>
      </c>
      <c r="J116" s="65">
        <v>6000.0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</row>
    <row r="117" ht="15.75" customHeight="1">
      <c r="A117" s="12" t="s">
        <v>244</v>
      </c>
      <c r="B117" s="66">
        <v>5000.0</v>
      </c>
      <c r="C117" s="66">
        <v>5000.0</v>
      </c>
      <c r="D117" s="66">
        <v>5000.0</v>
      </c>
      <c r="E117" s="66">
        <v>5000.0</v>
      </c>
      <c r="F117" s="66">
        <v>5000.0</v>
      </c>
      <c r="G117" s="66">
        <v>5000.0</v>
      </c>
      <c r="H117" s="66">
        <v>5000.0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</row>
    <row r="118" ht="15.75" customHeight="1">
      <c r="A118" s="12"/>
      <c r="B118" s="12"/>
      <c r="C118" s="12"/>
      <c r="D118" s="67"/>
      <c r="E118" s="12"/>
      <c r="F118" s="67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</row>
    <row r="231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</row>
    <row r="232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</row>
    <row r="233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</row>
    <row r="234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</row>
    <row r="280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</row>
    <row r="281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</row>
    <row r="282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</row>
    <row r="283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</row>
    <row r="284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</row>
    <row r="28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</row>
    <row r="28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</row>
    <row r="287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</row>
    <row r="288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</row>
    <row r="289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</row>
    <row r="290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</row>
    <row r="291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</row>
    <row r="292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</row>
    <row r="293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</row>
    <row r="294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</row>
    <row r="29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</row>
    <row r="29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</row>
    <row r="297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</row>
    <row r="298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</row>
    <row r="299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</row>
    <row r="300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</row>
    <row r="301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</row>
    <row r="302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</row>
    <row r="303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</row>
    <row r="304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</row>
    <row r="30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</row>
    <row r="30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</row>
    <row r="307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</row>
    <row r="308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</row>
    <row r="309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</row>
    <row r="310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</row>
    <row r="311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</row>
    <row r="312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</row>
    <row r="313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</row>
    <row r="314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</row>
    <row r="3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</row>
    <row r="31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</row>
    <row r="317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574803149606299" footer="0.0" header="0.0" left="0.7000000000000001" right="0.7000000000000001" top="1.574803149606299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39.75"/>
    <col customWidth="1" min="3" max="3" width="11.25"/>
    <col customWidth="1" min="4" max="6" width="16.75"/>
    <col customWidth="1" min="7" max="26" width="8.38"/>
  </cols>
  <sheetData>
    <row r="1" ht="43.5" customHeight="1">
      <c r="A1" s="12"/>
      <c r="B1" s="68" t="s">
        <v>245</v>
      </c>
      <c r="C1" s="6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26.25" customHeight="1">
      <c r="A2" s="5"/>
      <c r="B2" s="70" t="s">
        <v>246</v>
      </c>
      <c r="C2" s="71">
        <v>2020.0</v>
      </c>
      <c r="D2" s="71">
        <v>2021.0</v>
      </c>
      <c r="E2" s="71">
        <v>2022.0</v>
      </c>
      <c r="F2" s="71">
        <v>2023.0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8.25" customHeight="1">
      <c r="A3" s="12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8.75" customHeight="1">
      <c r="A4" s="12"/>
      <c r="B4" s="4" t="s">
        <v>247</v>
      </c>
      <c r="C4" s="4">
        <v>0.0</v>
      </c>
      <c r="D4" s="72">
        <v>0.0</v>
      </c>
      <c r="E4" s="40">
        <f>Investitionsplanung!D5</f>
        <v>0</v>
      </c>
      <c r="F4" s="40">
        <v>0.0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8.75" customHeight="1">
      <c r="A5" s="12"/>
      <c r="B5" s="4" t="s">
        <v>248</v>
      </c>
      <c r="C5" s="73">
        <f>Investitionsplanung!D7</f>
        <v>0</v>
      </c>
      <c r="D5" s="73">
        <f>Investitionsplanung!E7</f>
        <v>1000</v>
      </c>
      <c r="E5" s="1">
        <v>0.0</v>
      </c>
      <c r="F5" s="40">
        <v>0.0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8.75" customHeight="1">
      <c r="A6" s="12"/>
      <c r="B6" s="4" t="s">
        <v>249</v>
      </c>
      <c r="C6" s="73">
        <f>Investitionsplanung!D13</f>
        <v>13800</v>
      </c>
      <c r="D6" s="73">
        <f>Investitionsplanung!E13</f>
        <v>44580</v>
      </c>
      <c r="E6" s="40">
        <v>0.0</v>
      </c>
      <c r="F6" s="40">
        <v>0.0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8.75" customHeight="1">
      <c r="A7" s="12"/>
      <c r="B7" s="4" t="s">
        <v>250</v>
      </c>
      <c r="C7" s="73">
        <f>Investitionsplanung!D32</f>
        <v>0</v>
      </c>
      <c r="D7" s="73">
        <f>Investitionsplanung!E32</f>
        <v>52450</v>
      </c>
      <c r="E7" s="40"/>
      <c r="F7" s="40">
        <v>0.0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8.75" customHeight="1">
      <c r="A8" s="12"/>
      <c r="B8" s="4" t="s">
        <v>251</v>
      </c>
      <c r="C8" s="73" t="str">
        <f>Investitionsplanung!D56</f>
        <v/>
      </c>
      <c r="D8" s="73">
        <f>Investitionsplanung!E56</f>
        <v>13632.9</v>
      </c>
      <c r="E8" s="40">
        <v>0.0</v>
      </c>
      <c r="F8" s="40">
        <v>0.0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75" customHeight="1">
      <c r="A9" s="12"/>
      <c r="B9" s="74" t="s">
        <v>252</v>
      </c>
      <c r="C9" s="73" t="str">
        <f>Investitionsplanung!D74</f>
        <v/>
      </c>
      <c r="D9" s="73">
        <f>Investitionsplanung!E74</f>
        <v>4000</v>
      </c>
      <c r="E9" s="40"/>
      <c r="F9" s="4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8.75" customHeight="1">
      <c r="A10" s="12"/>
      <c r="B10" s="70" t="s">
        <v>253</v>
      </c>
      <c r="C10" s="75">
        <f>SUM(C5:C8)*0.16</f>
        <v>2208</v>
      </c>
      <c r="D10" s="75">
        <f>SUM(D5:D8)*0.19</f>
        <v>21215.951</v>
      </c>
      <c r="E10" s="40">
        <v>0.0</v>
      </c>
      <c r="F10" s="40">
        <v>0.0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8.25" customHeight="1">
      <c r="A11" s="12"/>
      <c r="B11" s="4"/>
      <c r="C11" s="76"/>
      <c r="D11" s="72"/>
      <c r="E11" s="40"/>
      <c r="F11" s="4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8.75" customHeight="1">
      <c r="A12" s="12"/>
      <c r="B12" s="70" t="s">
        <v>254</v>
      </c>
      <c r="C12" s="75">
        <f t="shared" ref="C12:D12" si="1">SUM(C5:C8)*0.15</f>
        <v>2070</v>
      </c>
      <c r="D12" s="75">
        <f t="shared" si="1"/>
        <v>16749.435</v>
      </c>
      <c r="E12" s="40">
        <v>0.0</v>
      </c>
      <c r="F12" s="4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8.25" customHeight="1">
      <c r="A13" s="12"/>
      <c r="B13" s="4"/>
      <c r="C13" s="76"/>
      <c r="D13" s="72"/>
      <c r="E13" s="40"/>
      <c r="F13" s="4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8.75" customHeight="1">
      <c r="A14" s="12"/>
      <c r="B14" s="77" t="s">
        <v>255</v>
      </c>
      <c r="C14" s="78">
        <f t="shared" ref="C14:D14" si="2">SUM(C5:C12)</f>
        <v>18078</v>
      </c>
      <c r="D14" s="78">
        <f t="shared" si="2"/>
        <v>153628.286</v>
      </c>
      <c r="E14" s="40">
        <f>SUM(E4:E13)</f>
        <v>0</v>
      </c>
      <c r="F14" s="40">
        <f>SUM(F5:F13)</f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12"/>
      <c r="B15" s="79"/>
      <c r="C15" s="7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rintOptions/>
  <pageMargins bottom="1.574803149606299" footer="0.0" header="0.0" left="0.7000000000000001" right="0.7000000000000001" top="1.574803149606299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3.38"/>
    <col customWidth="1" min="3" max="3" width="32.63"/>
    <col customWidth="1" min="4" max="13" width="8.75"/>
    <col customWidth="1" min="14" max="16" width="15.63"/>
    <col customWidth="1" min="17" max="26" width="8.38"/>
  </cols>
  <sheetData>
    <row r="1" ht="36.75" customHeight="1">
      <c r="A1" s="80" t="s">
        <v>256</v>
      </c>
      <c r="D1" s="81"/>
      <c r="E1" s="81"/>
      <c r="F1" s="81"/>
      <c r="G1" s="81"/>
      <c r="H1" s="82"/>
      <c r="I1" s="81"/>
      <c r="J1" s="81"/>
      <c r="K1" s="81"/>
      <c r="L1" s="81"/>
      <c r="M1" s="82"/>
      <c r="N1" s="81"/>
      <c r="O1" s="81"/>
      <c r="P1" s="81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21.0" customHeight="1">
      <c r="A2" s="81"/>
      <c r="B2" s="81"/>
      <c r="C2" s="81"/>
      <c r="D2" s="83">
        <v>2020.0</v>
      </c>
      <c r="E2" s="84"/>
      <c r="F2" s="84"/>
      <c r="G2" s="84"/>
      <c r="H2" s="85"/>
      <c r="I2" s="83">
        <v>2021.0</v>
      </c>
      <c r="J2" s="84"/>
      <c r="K2" s="84"/>
      <c r="L2" s="84"/>
      <c r="M2" s="85"/>
      <c r="N2" s="86">
        <v>2022.0</v>
      </c>
      <c r="O2" s="86">
        <v>2023.0</v>
      </c>
      <c r="P2" s="86">
        <v>2024.0</v>
      </c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0" customHeight="1">
      <c r="A3" s="82"/>
      <c r="B3" s="82"/>
      <c r="C3" s="82"/>
      <c r="D3" s="87" t="s">
        <v>257</v>
      </c>
      <c r="E3" s="87" t="s">
        <v>258</v>
      </c>
      <c r="F3" s="87" t="s">
        <v>259</v>
      </c>
      <c r="G3" s="87" t="s">
        <v>260</v>
      </c>
      <c r="H3" s="87" t="s">
        <v>261</v>
      </c>
      <c r="I3" s="87" t="s">
        <v>262</v>
      </c>
      <c r="J3" s="87" t="s">
        <v>263</v>
      </c>
      <c r="K3" s="87" t="s">
        <v>264</v>
      </c>
      <c r="L3" s="87" t="s">
        <v>265</v>
      </c>
      <c r="M3" s="87" t="s">
        <v>261</v>
      </c>
      <c r="N3" s="87" t="s">
        <v>261</v>
      </c>
      <c r="O3" s="88" t="s">
        <v>261</v>
      </c>
      <c r="P3" s="88" t="s">
        <v>261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3.75" customHeight="1">
      <c r="A4" s="89"/>
      <c r="B4" s="89"/>
      <c r="C4" s="89"/>
      <c r="D4" s="90"/>
      <c r="E4" s="90"/>
      <c r="F4" s="90"/>
      <c r="G4" s="90"/>
      <c r="H4" s="91"/>
      <c r="I4" s="90"/>
      <c r="J4" s="90"/>
      <c r="K4" s="90"/>
      <c r="L4" s="90"/>
      <c r="M4" s="91"/>
      <c r="N4" s="90"/>
      <c r="O4" s="92"/>
      <c r="P4" s="9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6.5" customHeight="1">
      <c r="A5" s="93" t="s">
        <v>266</v>
      </c>
      <c r="B5" s="93"/>
      <c r="C5" s="93"/>
      <c r="D5" s="94">
        <f t="shared" ref="D5:G5" si="1">D6+D9</f>
        <v>0</v>
      </c>
      <c r="E5" s="94">
        <f t="shared" si="1"/>
        <v>0</v>
      </c>
      <c r="F5" s="94">
        <f t="shared" si="1"/>
        <v>0</v>
      </c>
      <c r="G5" s="94">
        <f t="shared" si="1"/>
        <v>0</v>
      </c>
      <c r="H5" s="94">
        <f t="shared" ref="H5:H8" si="5">SUM(D5:G5)</f>
        <v>0</v>
      </c>
      <c r="I5" s="94">
        <f t="shared" ref="I5:L5" si="2">I6+I9</f>
        <v>4000</v>
      </c>
      <c r="J5" s="94">
        <f t="shared" si="2"/>
        <v>25814.01869</v>
      </c>
      <c r="K5" s="94">
        <f t="shared" si="2"/>
        <v>38721.02804</v>
      </c>
      <c r="L5" s="94">
        <f t="shared" si="2"/>
        <v>38721.02804</v>
      </c>
      <c r="M5" s="94">
        <f t="shared" ref="M5:M8" si="7">SUM(I5:L5)</f>
        <v>107256.0748</v>
      </c>
      <c r="N5" s="94">
        <f t="shared" ref="N5:P5" si="3">N6+N9</f>
        <v>196822.4299</v>
      </c>
      <c r="O5" s="95">
        <f t="shared" si="3"/>
        <v>196822.4299</v>
      </c>
      <c r="P5" s="95">
        <f t="shared" si="3"/>
        <v>196822.4299</v>
      </c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6.5" customHeight="1">
      <c r="A6" s="93"/>
      <c r="B6" s="93" t="str">
        <f>'Betriebsgrößenanalyse'!A30</f>
        <v>Umsatzerlöse Gartenbau</v>
      </c>
      <c r="C6" s="93"/>
      <c r="D6" s="94">
        <f t="shared" ref="D6:G6" si="4">D7+D8</f>
        <v>0</v>
      </c>
      <c r="E6" s="94">
        <f t="shared" si="4"/>
        <v>0</v>
      </c>
      <c r="F6" s="94">
        <f t="shared" si="4"/>
        <v>0</v>
      </c>
      <c r="G6" s="94">
        <f t="shared" si="4"/>
        <v>0</v>
      </c>
      <c r="H6" s="94">
        <f t="shared" si="5"/>
        <v>0</v>
      </c>
      <c r="I6" s="94">
        <f t="shared" ref="I6:L6" si="6">I7+I8</f>
        <v>0</v>
      </c>
      <c r="J6" s="94">
        <f t="shared" si="6"/>
        <v>25814.01869</v>
      </c>
      <c r="K6" s="94">
        <f t="shared" si="6"/>
        <v>38721.02804</v>
      </c>
      <c r="L6" s="94">
        <f t="shared" si="6"/>
        <v>38721.02804</v>
      </c>
      <c r="M6" s="94">
        <f t="shared" si="7"/>
        <v>103256.0748</v>
      </c>
      <c r="N6" s="94">
        <f t="shared" ref="N6:P6" si="8">N7+N8</f>
        <v>196822.4299</v>
      </c>
      <c r="O6" s="95">
        <f t="shared" si="8"/>
        <v>196822.4299</v>
      </c>
      <c r="P6" s="95">
        <f t="shared" si="8"/>
        <v>196822.4299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6.5" hidden="1" customHeight="1">
      <c r="A7" s="89"/>
      <c r="B7" s="12"/>
      <c r="C7" s="89" t="str">
        <f>'Betriebsgrößenanalyse'!A31</f>
        <v>Gemüse Abonnenten</v>
      </c>
      <c r="D7" s="96">
        <v>0.0</v>
      </c>
      <c r="E7" s="96">
        <v>0.0</v>
      </c>
      <c r="F7" s="96">
        <v>0.0</v>
      </c>
      <c r="G7" s="96">
        <v>0.0</v>
      </c>
      <c r="H7" s="94">
        <f t="shared" si="5"/>
        <v>0</v>
      </c>
      <c r="I7" s="96">
        <v>0.0</v>
      </c>
      <c r="J7" s="96">
        <f>'Betriebsgrößenanalyse'!$G$31/12*2</f>
        <v>25514.01869</v>
      </c>
      <c r="K7" s="96">
        <f>'Betriebsgrößenanalyse'!$G$31/4</f>
        <v>38271.02804</v>
      </c>
      <c r="L7" s="96">
        <f>'Betriebsgrößenanalyse'!$G$31/4</f>
        <v>38271.02804</v>
      </c>
      <c r="M7" s="94">
        <f t="shared" si="7"/>
        <v>102056.0748</v>
      </c>
      <c r="N7" s="96">
        <f>'Betriebsgrößenanalyse'!$I$31</f>
        <v>196822.4299</v>
      </c>
      <c r="O7" s="97">
        <f>'Betriebsgrößenanalyse'!$I$31</f>
        <v>196822.4299</v>
      </c>
      <c r="P7" s="97">
        <f>'Betriebsgrößenanalyse'!$I$31</f>
        <v>196822.4299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9.5" hidden="1" customHeight="1">
      <c r="A8" s="89"/>
      <c r="B8" s="12"/>
      <c r="C8" s="89" t="str">
        <f>'Betriebsgrößenanalyse'!A32</f>
        <v>Apfelsaft</v>
      </c>
      <c r="D8" s="96">
        <v>0.0</v>
      </c>
      <c r="E8" s="96">
        <v>0.0</v>
      </c>
      <c r="F8" s="96">
        <v>0.0</v>
      </c>
      <c r="G8" s="96">
        <v>0.0</v>
      </c>
      <c r="H8" s="94">
        <f t="shared" si="5"/>
        <v>0</v>
      </c>
      <c r="I8" s="96">
        <v>0.0</v>
      </c>
      <c r="J8" s="96">
        <f>'Betriebsgrößenanalyse'!$G$32/12*2</f>
        <v>300</v>
      </c>
      <c r="K8" s="96">
        <f>'Betriebsgrößenanalyse'!$G$32/4</f>
        <v>450</v>
      </c>
      <c r="L8" s="96">
        <f>'Betriebsgrößenanalyse'!$G$32/4</f>
        <v>450</v>
      </c>
      <c r="M8" s="94">
        <f t="shared" si="7"/>
        <v>1200</v>
      </c>
      <c r="N8" s="96">
        <f>'Betriebsgrößenanalyse'!$I$32</f>
        <v>0</v>
      </c>
      <c r="O8" s="97">
        <f>'Betriebsgrößenanalyse'!$I$32</f>
        <v>0</v>
      </c>
      <c r="P8" s="97">
        <f>'Betriebsgrößenanalyse'!$I$32</f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6.5" customHeight="1">
      <c r="A9" s="93"/>
      <c r="B9" s="93" t="str">
        <f>'Betriebsgrößenanalyse'!A34</f>
        <v>Sonstige betriebliche Erlöse</v>
      </c>
      <c r="C9" s="93"/>
      <c r="D9" s="94">
        <f t="shared" ref="D9:O9" si="9">SUM(D10:D15)</f>
        <v>0</v>
      </c>
      <c r="E9" s="94">
        <f t="shared" si="9"/>
        <v>0</v>
      </c>
      <c r="F9" s="94">
        <f t="shared" si="9"/>
        <v>0</v>
      </c>
      <c r="G9" s="94">
        <f t="shared" si="9"/>
        <v>0</v>
      </c>
      <c r="H9" s="94">
        <f t="shared" si="9"/>
        <v>0</v>
      </c>
      <c r="I9" s="94">
        <f t="shared" si="9"/>
        <v>4000</v>
      </c>
      <c r="J9" s="94">
        <f t="shared" si="9"/>
        <v>0</v>
      </c>
      <c r="K9" s="94">
        <f t="shared" si="9"/>
        <v>0</v>
      </c>
      <c r="L9" s="94">
        <f t="shared" si="9"/>
        <v>0</v>
      </c>
      <c r="M9" s="94">
        <f t="shared" si="9"/>
        <v>4000</v>
      </c>
      <c r="N9" s="94">
        <f t="shared" si="9"/>
        <v>0</v>
      </c>
      <c r="O9" s="95">
        <f t="shared" si="9"/>
        <v>0</v>
      </c>
      <c r="P9" s="95">
        <f>SUM(P11:P14)</f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6.5" hidden="1" customHeight="1">
      <c r="A10" s="89"/>
      <c r="B10" s="12"/>
      <c r="C10" s="1" t="s">
        <v>178</v>
      </c>
      <c r="D10" s="96">
        <v>0.0</v>
      </c>
      <c r="E10" s="96">
        <v>0.0</v>
      </c>
      <c r="F10" s="96">
        <v>0.0</v>
      </c>
      <c r="G10" s="96">
        <v>0.0</v>
      </c>
      <c r="H10" s="94">
        <f t="shared" ref="H10:H15" si="10">SUM(D10:G10)</f>
        <v>0</v>
      </c>
      <c r="I10" s="96">
        <v>0.0</v>
      </c>
      <c r="J10" s="96">
        <v>0.0</v>
      </c>
      <c r="K10" s="96">
        <v>0.0</v>
      </c>
      <c r="L10" s="96">
        <f>'Betriebsgrößenanalyse'!G35</f>
        <v>0</v>
      </c>
      <c r="M10" s="94">
        <f t="shared" ref="M10:M15" si="11">SUM(I10:L10)</f>
        <v>0</v>
      </c>
      <c r="N10" s="96">
        <f>'Betriebsgrößenanalyse'!G35</f>
        <v>0</v>
      </c>
      <c r="O10" s="97">
        <f>'Betriebsgrößenanalyse'!G35</f>
        <v>0</v>
      </c>
      <c r="P10" s="97">
        <v>0.0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6.5" hidden="1" customHeight="1">
      <c r="A11" s="89"/>
      <c r="B11" s="12"/>
      <c r="C11" s="89" t="str">
        <f>'Betriebsgrößenanalyse'!A36</f>
        <v>Beitrag Genossen pro Jahr</v>
      </c>
      <c r="D11" s="96">
        <f>'Mitglieder-_&amp;_Umsatzwachstum'!B3*Datengrundlage!$C$8</f>
        <v>0</v>
      </c>
      <c r="E11" s="96">
        <f>Datengrundlage!$C$8*'Mitglieder-_&amp;_Umsatzwachstum'!C3</f>
        <v>0</v>
      </c>
      <c r="F11" s="96">
        <f>Datengrundlage!$C$8*'Mitglieder-_&amp;_Umsatzwachstum'!D3</f>
        <v>0</v>
      </c>
      <c r="G11" s="96">
        <f>Datengrundlage!$C$8*'Mitglieder-_&amp;_Umsatzwachstum'!E3</f>
        <v>0</v>
      </c>
      <c r="H11" s="94">
        <f t="shared" si="10"/>
        <v>0</v>
      </c>
      <c r="I11" s="96">
        <f>('Mitglieder-_&amp;_Umsatzwachstum'!E4+'Mitglieder-_&amp;_Umsatzwachstum'!F3+'Mitglieder-_&amp;_Umsatzwachstum'!G3+'Mitglieder-_&amp;_Umsatzwachstum'!H3)*Datengrundlage!C8</f>
        <v>0</v>
      </c>
      <c r="J11" s="96">
        <f>Datengrundlage!$C$8*(SUM('Mitglieder-_&amp;_Umsatzwachstum'!I3:K3))</f>
        <v>0</v>
      </c>
      <c r="K11" s="96">
        <f>Datengrundlage!$C$8*(SUM('Mitglieder-_&amp;_Umsatzwachstum'!L3:N3))</f>
        <v>0</v>
      </c>
      <c r="L11" s="96">
        <f>Datengrundlage!$C$8*(SUM('Mitglieder-_&amp;_Umsatzwachstum'!O3:Q3))</f>
        <v>0</v>
      </c>
      <c r="M11" s="94">
        <f t="shared" si="11"/>
        <v>0</v>
      </c>
      <c r="N11" s="96">
        <f>Datengrundlage!$C$8*'Mitglieder-_&amp;_Umsatzwachstum'!Q4+Datengrundlage!$C$8*(SUM('Mitglieder-_&amp;_Umsatzwachstum'!R3:AC3))</f>
        <v>0</v>
      </c>
      <c r="O11" s="97">
        <f>Datengrundlage!$C$8*'Mitglieder-_&amp;_Umsatzwachstum'!AC4+Datengrundlage!$C$8*(SUM('Mitglieder-_&amp;_Umsatzwachstum'!AD3:AO3))</f>
        <v>0</v>
      </c>
      <c r="P11" s="97">
        <f>Datengrundlage!$C$8*'Mitglieder-_&amp;_Umsatzwachstum'!AO4+Datengrundlage!$C$8*(SUM('Mitglieder-_&amp;_Umsatzwachstum'!AP3:BA3))</f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6.5" hidden="1" customHeight="1">
      <c r="A12" s="89"/>
      <c r="B12" s="12"/>
      <c r="C12" s="89" t="str">
        <f>'Betriebsgrößenanalyse'!A37</f>
        <v>Betriebsprämie Direktzahlung</v>
      </c>
      <c r="D12" s="96">
        <v>0.0</v>
      </c>
      <c r="E12" s="96">
        <v>0.0</v>
      </c>
      <c r="F12" s="96">
        <v>0.0</v>
      </c>
      <c r="G12" s="96">
        <v>0.0</v>
      </c>
      <c r="H12" s="94">
        <f t="shared" si="10"/>
        <v>0</v>
      </c>
      <c r="I12" s="96">
        <v>0.0</v>
      </c>
      <c r="J12" s="96">
        <v>0.0</v>
      </c>
      <c r="K12" s="96">
        <v>0.0</v>
      </c>
      <c r="L12" s="96">
        <f>'Betriebsgrößenanalyse'!G37</f>
        <v>0</v>
      </c>
      <c r="M12" s="94">
        <f t="shared" si="11"/>
        <v>0</v>
      </c>
      <c r="N12" s="96">
        <f>'Betriebsgrößenanalyse'!G37</f>
        <v>0</v>
      </c>
      <c r="O12" s="97">
        <f>'Betriebsgrößenanalyse'!G37</f>
        <v>0</v>
      </c>
      <c r="P12" s="97">
        <f>'Betriebsgrößenanalyse'!G37</f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6.5" hidden="1" customHeight="1">
      <c r="A13" s="89"/>
      <c r="B13" s="12"/>
      <c r="C13" s="89" t="str">
        <f>'Betriebsgrößenanalyse'!A38</f>
        <v>Mieteinnahmen (6 Monate pro Jahr)</v>
      </c>
      <c r="D13" s="96">
        <v>0.0</v>
      </c>
      <c r="E13" s="96">
        <v>0.0</v>
      </c>
      <c r="F13" s="96">
        <v>0.0</v>
      </c>
      <c r="G13" s="96">
        <v>0.0</v>
      </c>
      <c r="H13" s="94">
        <f t="shared" si="10"/>
        <v>0</v>
      </c>
      <c r="I13" s="96">
        <v>0.0</v>
      </c>
      <c r="J13" s="96">
        <v>0.0</v>
      </c>
      <c r="K13" s="96">
        <v>0.0</v>
      </c>
      <c r="L13" s="96">
        <f>'Betriebsgrößenanalyse'!G38/2</f>
        <v>0</v>
      </c>
      <c r="M13" s="94">
        <f t="shared" si="11"/>
        <v>0</v>
      </c>
      <c r="N13" s="96">
        <f>'Betriebsgrößenanalyse'!G38</f>
        <v>0</v>
      </c>
      <c r="O13" s="97">
        <f>'Betriebsgrößenanalyse'!G38</f>
        <v>0</v>
      </c>
      <c r="P13" s="97">
        <f>'Betriebsgrößenanalyse'!H38</f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6.5" hidden="1" customHeight="1">
      <c r="A14" s="89"/>
      <c r="B14" s="12"/>
      <c r="C14" s="89" t="str">
        <f>'Betriebsgrößenanalyse'!A39</f>
        <v>Kontrollkostenzuschuss</v>
      </c>
      <c r="D14" s="96">
        <v>0.0</v>
      </c>
      <c r="E14" s="96">
        <v>0.0</v>
      </c>
      <c r="F14" s="96">
        <v>0.0</v>
      </c>
      <c r="G14" s="96">
        <v>0.0</v>
      </c>
      <c r="H14" s="94">
        <f t="shared" si="10"/>
        <v>0</v>
      </c>
      <c r="I14" s="96">
        <v>0.0</v>
      </c>
      <c r="J14" s="96">
        <v>0.0</v>
      </c>
      <c r="K14" s="96">
        <v>0.0</v>
      </c>
      <c r="L14" s="98">
        <v>0.0</v>
      </c>
      <c r="M14" s="94">
        <f t="shared" si="11"/>
        <v>0</v>
      </c>
      <c r="N14" s="98">
        <v>0.0</v>
      </c>
      <c r="O14" s="99">
        <v>0.0</v>
      </c>
      <c r="P14" s="99">
        <v>0.0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6.5" hidden="1" customHeight="1">
      <c r="A15" s="89"/>
      <c r="B15" s="12"/>
      <c r="C15" s="100" t="str">
        <f>'Betriebsgrößenanalyse'!A40</f>
        <v>Crowdfunding</v>
      </c>
      <c r="D15" s="96">
        <v>0.0</v>
      </c>
      <c r="E15" s="96">
        <v>0.0</v>
      </c>
      <c r="F15" s="96">
        <v>0.0</v>
      </c>
      <c r="G15" s="96" t="str">
        <f>'Betriebsgrößenanalyse'!G40</f>
        <v/>
      </c>
      <c r="H15" s="94">
        <f t="shared" si="10"/>
        <v>0</v>
      </c>
      <c r="I15" s="96">
        <v>4000.0</v>
      </c>
      <c r="J15" s="96">
        <v>0.0</v>
      </c>
      <c r="K15" s="96">
        <v>0.0</v>
      </c>
      <c r="L15" s="98">
        <v>0.0</v>
      </c>
      <c r="M15" s="94">
        <f t="shared" si="11"/>
        <v>4000</v>
      </c>
      <c r="N15" s="98">
        <v>0.0</v>
      </c>
      <c r="O15" s="99">
        <v>0.0</v>
      </c>
      <c r="P15" s="99">
        <v>0.0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6.5" customHeight="1">
      <c r="A16" s="89"/>
      <c r="B16" s="12"/>
      <c r="C16" s="12"/>
      <c r="D16" s="96"/>
      <c r="E16" s="96"/>
      <c r="F16" s="96"/>
      <c r="G16" s="96"/>
      <c r="H16" s="94"/>
      <c r="I16" s="96"/>
      <c r="J16" s="96"/>
      <c r="K16" s="96"/>
      <c r="L16" s="96"/>
      <c r="M16" s="94">
        <f t="shared" ref="M16:P16" si="12">SUM(M13:M15)</f>
        <v>4000</v>
      </c>
      <c r="N16" s="94">
        <f t="shared" si="12"/>
        <v>0</v>
      </c>
      <c r="O16" s="95">
        <f t="shared" si="12"/>
        <v>0</v>
      </c>
      <c r="P16" s="95">
        <f t="shared" si="12"/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6.5" customHeight="1">
      <c r="A17" s="93" t="s">
        <v>267</v>
      </c>
      <c r="B17" s="93"/>
      <c r="C17" s="93"/>
      <c r="D17" s="94">
        <f t="shared" ref="D17:P17" si="13">D18+D25+D30+D37+D40+D41</f>
        <v>0</v>
      </c>
      <c r="E17" s="94">
        <f t="shared" si="13"/>
        <v>595.5833333</v>
      </c>
      <c r="F17" s="94">
        <f t="shared" si="13"/>
        <v>1128.64063</v>
      </c>
      <c r="G17" s="94">
        <f t="shared" si="13"/>
        <v>87.27050371</v>
      </c>
      <c r="H17" s="94">
        <f t="shared" si="13"/>
        <v>1811.494467</v>
      </c>
      <c r="I17" s="94" t="str">
        <f t="shared" si="13"/>
        <v>#REF!</v>
      </c>
      <c r="J17" s="94" t="str">
        <f t="shared" si="13"/>
        <v>#REF!</v>
      </c>
      <c r="K17" s="94" t="str">
        <f t="shared" si="13"/>
        <v>#REF!</v>
      </c>
      <c r="L17" s="94" t="str">
        <f t="shared" si="13"/>
        <v>#REF!</v>
      </c>
      <c r="M17" s="94" t="str">
        <f t="shared" si="13"/>
        <v>#REF!</v>
      </c>
      <c r="N17" s="94" t="str">
        <f t="shared" si="13"/>
        <v>#REF!</v>
      </c>
      <c r="O17" s="95" t="str">
        <f t="shared" si="13"/>
        <v>#REF!</v>
      </c>
      <c r="P17" s="95" t="str">
        <f t="shared" si="13"/>
        <v>#REF!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6.5" customHeight="1">
      <c r="A18" s="93"/>
      <c r="B18" s="93" t="s">
        <v>268</v>
      </c>
      <c r="C18" s="5"/>
      <c r="D18" s="101">
        <f t="shared" ref="D18:P18" si="14">SUM(D19:D24)</f>
        <v>0</v>
      </c>
      <c r="E18" s="101">
        <f t="shared" si="14"/>
        <v>0</v>
      </c>
      <c r="F18" s="101">
        <f t="shared" si="14"/>
        <v>0</v>
      </c>
      <c r="G18" s="101">
        <f t="shared" si="14"/>
        <v>0</v>
      </c>
      <c r="H18" s="101">
        <f t="shared" si="14"/>
        <v>0</v>
      </c>
      <c r="I18" s="101">
        <f t="shared" si="14"/>
        <v>11472.3</v>
      </c>
      <c r="J18" s="101">
        <f t="shared" si="14"/>
        <v>945.4725</v>
      </c>
      <c r="K18" s="101">
        <f t="shared" si="14"/>
        <v>0</v>
      </c>
      <c r="L18" s="101">
        <f t="shared" si="14"/>
        <v>0</v>
      </c>
      <c r="M18" s="101">
        <f t="shared" si="14"/>
        <v>12417.7725</v>
      </c>
      <c r="N18" s="101">
        <f t="shared" si="14"/>
        <v>12417.7725</v>
      </c>
      <c r="O18" s="101">
        <f t="shared" si="14"/>
        <v>12417.7725</v>
      </c>
      <c r="P18" s="101">
        <f t="shared" si="14"/>
        <v>12417.7725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6.5" hidden="1" customHeight="1">
      <c r="A19" s="89"/>
      <c r="B19" s="12"/>
      <c r="C19" s="54" t="s">
        <v>186</v>
      </c>
      <c r="D19" s="100">
        <v>0.0</v>
      </c>
      <c r="E19" s="100">
        <v>0.0</v>
      </c>
      <c r="F19" s="100">
        <v>0.0</v>
      </c>
      <c r="G19" s="100">
        <v>0.0</v>
      </c>
      <c r="H19" s="101">
        <f t="shared" ref="H19:H29" si="15">SUM(D19:G19)</f>
        <v>0</v>
      </c>
      <c r="I19" s="100">
        <f>'Betriebsgrößenanalyse'!G45</f>
        <v>5601.925</v>
      </c>
      <c r="J19" s="100">
        <v>0.0</v>
      </c>
      <c r="K19" s="100">
        <v>0.0</v>
      </c>
      <c r="L19" s="100">
        <v>0.0</v>
      </c>
      <c r="M19" s="101">
        <f t="shared" ref="M19:M29" si="16">SUM(I19:L19)</f>
        <v>5601.925</v>
      </c>
      <c r="N19" s="100">
        <f>'Betriebsgrößenanalyse'!$G45</f>
        <v>5601.925</v>
      </c>
      <c r="O19" s="100">
        <f>'Betriebsgrößenanalyse'!$G45</f>
        <v>5601.925</v>
      </c>
      <c r="P19" s="100">
        <f>'Betriebsgrößenanalyse'!$G45</f>
        <v>5601.925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6.5" hidden="1" customHeight="1">
      <c r="A20" s="89"/>
      <c r="B20" s="12"/>
      <c r="C20" s="54" t="s">
        <v>187</v>
      </c>
      <c r="D20" s="100">
        <v>0.0</v>
      </c>
      <c r="E20" s="100">
        <v>0.0</v>
      </c>
      <c r="F20" s="100">
        <v>0.0</v>
      </c>
      <c r="G20" s="100">
        <v>0.0</v>
      </c>
      <c r="H20" s="101">
        <f t="shared" si="15"/>
        <v>0</v>
      </c>
      <c r="I20" s="100">
        <f>'Betriebsgrößenanalyse'!G46</f>
        <v>4060.875</v>
      </c>
      <c r="J20" s="100">
        <v>0.0</v>
      </c>
      <c r="K20" s="100">
        <v>0.0</v>
      </c>
      <c r="L20" s="100">
        <v>0.0</v>
      </c>
      <c r="M20" s="101">
        <f t="shared" si="16"/>
        <v>4060.875</v>
      </c>
      <c r="N20" s="100">
        <f>'Betriebsgrößenanalyse'!$G46</f>
        <v>4060.875</v>
      </c>
      <c r="O20" s="100">
        <f>'Betriebsgrößenanalyse'!$G46</f>
        <v>4060.875</v>
      </c>
      <c r="P20" s="100">
        <f>'Betriebsgrößenanalyse'!$G46</f>
        <v>4060.875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6.5" hidden="1" customHeight="1">
      <c r="A21" s="89"/>
      <c r="B21" s="12"/>
      <c r="C21" s="54" t="s">
        <v>188</v>
      </c>
      <c r="D21" s="100">
        <v>0.0</v>
      </c>
      <c r="E21" s="100">
        <v>0.0</v>
      </c>
      <c r="F21" s="100">
        <v>0.0</v>
      </c>
      <c r="G21" s="100">
        <v>0.0</v>
      </c>
      <c r="H21" s="101">
        <f t="shared" si="15"/>
        <v>0</v>
      </c>
      <c r="I21" s="100">
        <f>'Betriebsgrößenanalyse'!G47</f>
        <v>759.5</v>
      </c>
      <c r="J21" s="100">
        <v>0.0</v>
      </c>
      <c r="K21" s="100">
        <v>0.0</v>
      </c>
      <c r="L21" s="100">
        <v>0.0</v>
      </c>
      <c r="M21" s="101">
        <f t="shared" si="16"/>
        <v>759.5</v>
      </c>
      <c r="N21" s="100">
        <f>'Betriebsgrößenanalyse'!$G47</f>
        <v>759.5</v>
      </c>
      <c r="O21" s="100">
        <f>'Betriebsgrößenanalyse'!$G47</f>
        <v>759.5</v>
      </c>
      <c r="P21" s="100">
        <f>'Betriebsgrößenanalyse'!$G47</f>
        <v>759.5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6.5" hidden="1" customHeight="1">
      <c r="A22" s="89"/>
      <c r="B22" s="12"/>
      <c r="C22" s="54" t="s">
        <v>189</v>
      </c>
      <c r="D22" s="100">
        <v>0.0</v>
      </c>
      <c r="E22" s="100">
        <v>0.0</v>
      </c>
      <c r="F22" s="100">
        <v>0.0</v>
      </c>
      <c r="G22" s="100">
        <v>0.0</v>
      </c>
      <c r="H22" s="101">
        <f t="shared" si="15"/>
        <v>0</v>
      </c>
      <c r="I22" s="100">
        <v>0.0</v>
      </c>
      <c r="J22" s="100">
        <f>'Betriebsgrößenanalyse'!G48</f>
        <v>326.025</v>
      </c>
      <c r="K22" s="100">
        <v>0.0</v>
      </c>
      <c r="L22" s="100">
        <v>0.0</v>
      </c>
      <c r="M22" s="101">
        <f t="shared" si="16"/>
        <v>326.025</v>
      </c>
      <c r="N22" s="100">
        <f>'Betriebsgrößenanalyse'!$G48</f>
        <v>326.025</v>
      </c>
      <c r="O22" s="100">
        <f>'Betriebsgrößenanalyse'!$G48</f>
        <v>326.025</v>
      </c>
      <c r="P22" s="100">
        <f>'Betriebsgrößenanalyse'!$G48</f>
        <v>326.025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6.5" hidden="1" customHeight="1">
      <c r="A23" s="89"/>
      <c r="B23" s="12"/>
      <c r="C23" s="54" t="s">
        <v>190</v>
      </c>
      <c r="D23" s="100">
        <v>0.0</v>
      </c>
      <c r="E23" s="100">
        <v>0.0</v>
      </c>
      <c r="F23" s="100">
        <v>0.0</v>
      </c>
      <c r="G23" s="100">
        <v>0.0</v>
      </c>
      <c r="H23" s="101">
        <f t="shared" si="15"/>
        <v>0</v>
      </c>
      <c r="I23" s="100">
        <v>0.0</v>
      </c>
      <c r="J23" s="100">
        <f>'Betriebsgrößenanalyse'!G49</f>
        <v>619.4475</v>
      </c>
      <c r="K23" s="100">
        <v>0.0</v>
      </c>
      <c r="L23" s="100">
        <v>0.0</v>
      </c>
      <c r="M23" s="101">
        <f t="shared" si="16"/>
        <v>619.4475</v>
      </c>
      <c r="N23" s="100">
        <f>'Betriebsgrößenanalyse'!$G49</f>
        <v>619.4475</v>
      </c>
      <c r="O23" s="100">
        <f>'Betriebsgrößenanalyse'!$G49</f>
        <v>619.4475</v>
      </c>
      <c r="P23" s="100">
        <f>'Betriebsgrößenanalyse'!$G49</f>
        <v>619.4475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6.5" hidden="1" customHeight="1">
      <c r="A24" s="89"/>
      <c r="B24" s="12"/>
      <c r="C24" s="54" t="s">
        <v>191</v>
      </c>
      <c r="D24" s="100">
        <v>0.0</v>
      </c>
      <c r="E24" s="100">
        <v>0.0</v>
      </c>
      <c r="F24" s="100">
        <v>0.0</v>
      </c>
      <c r="G24" s="100">
        <v>0.0</v>
      </c>
      <c r="H24" s="101">
        <f t="shared" si="15"/>
        <v>0</v>
      </c>
      <c r="I24" s="100">
        <f>'Betriebsgrößenanalyse'!G50</f>
        <v>1050</v>
      </c>
      <c r="J24" s="100">
        <v>0.0</v>
      </c>
      <c r="K24" s="100">
        <v>0.0</v>
      </c>
      <c r="L24" s="100">
        <v>0.0</v>
      </c>
      <c r="M24" s="101">
        <f t="shared" si="16"/>
        <v>1050</v>
      </c>
      <c r="N24" s="100">
        <f>'Betriebsgrößenanalyse'!$G50</f>
        <v>1050</v>
      </c>
      <c r="O24" s="100">
        <f>'Betriebsgrößenanalyse'!$G50</f>
        <v>1050</v>
      </c>
      <c r="P24" s="100">
        <f>'Betriebsgrößenanalyse'!$G50</f>
        <v>1050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6.5" customHeight="1">
      <c r="A25" s="93"/>
      <c r="B25" s="102" t="s">
        <v>193</v>
      </c>
      <c r="C25" s="5"/>
      <c r="D25" s="101">
        <f t="shared" ref="D25:G25" si="17">SUM(D26:D29)</f>
        <v>0</v>
      </c>
      <c r="E25" s="101">
        <f t="shared" si="17"/>
        <v>0</v>
      </c>
      <c r="F25" s="101">
        <f t="shared" si="17"/>
        <v>787.5</v>
      </c>
      <c r="G25" s="101">
        <f t="shared" si="17"/>
        <v>0</v>
      </c>
      <c r="H25" s="101">
        <f t="shared" si="15"/>
        <v>787.5</v>
      </c>
      <c r="I25" s="101">
        <f t="shared" ref="I25:L25" si="18">SUM(I26:I29)</f>
        <v>1172.5</v>
      </c>
      <c r="J25" s="101">
        <f t="shared" si="18"/>
        <v>0</v>
      </c>
      <c r="K25" s="101">
        <f t="shared" si="18"/>
        <v>0</v>
      </c>
      <c r="L25" s="101">
        <f t="shared" si="18"/>
        <v>0</v>
      </c>
      <c r="M25" s="101">
        <f t="shared" si="16"/>
        <v>1172.5</v>
      </c>
      <c r="N25" s="101">
        <f t="shared" ref="N25:P25" si="19">SUM(N26:N29)</f>
        <v>1435</v>
      </c>
      <c r="O25" s="101">
        <f t="shared" si="19"/>
        <v>1435</v>
      </c>
      <c r="P25" s="101">
        <f t="shared" si="19"/>
        <v>1435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6.5" hidden="1" customHeight="1">
      <c r="A26" s="89"/>
      <c r="B26" s="12"/>
      <c r="C26" s="1" t="s">
        <v>194</v>
      </c>
      <c r="D26" s="100">
        <v>0.0</v>
      </c>
      <c r="E26" s="100">
        <v>0.0</v>
      </c>
      <c r="F26" s="100">
        <f>'Betriebsgrößenanalyse'!G53</f>
        <v>525</v>
      </c>
      <c r="G26" s="100">
        <v>0.0</v>
      </c>
      <c r="H26" s="101">
        <f t="shared" si="15"/>
        <v>525</v>
      </c>
      <c r="I26" s="100">
        <v>0.0</v>
      </c>
      <c r="J26" s="100">
        <v>0.0</v>
      </c>
      <c r="K26" s="100">
        <v>0.0</v>
      </c>
      <c r="L26" s="100">
        <v>0.0</v>
      </c>
      <c r="M26" s="101">
        <f t="shared" si="16"/>
        <v>0</v>
      </c>
      <c r="N26" s="100">
        <f>'Betriebsgrößenanalyse'!O53</f>
        <v>525</v>
      </c>
      <c r="O26" s="100">
        <f>'Betriebsgrößenanalyse'!P53</f>
        <v>525</v>
      </c>
      <c r="P26" s="100">
        <f>'Betriebsgrößenanalyse'!Q53</f>
        <v>525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6.5" hidden="1" customHeight="1">
      <c r="A27" s="89"/>
      <c r="B27" s="12"/>
      <c r="C27" s="1" t="s">
        <v>195</v>
      </c>
      <c r="D27" s="100">
        <v>0.0</v>
      </c>
      <c r="E27" s="100">
        <v>0.0</v>
      </c>
      <c r="F27" s="100">
        <v>0.0</v>
      </c>
      <c r="G27" s="100">
        <v>0.0</v>
      </c>
      <c r="H27" s="101">
        <f t="shared" si="15"/>
        <v>0</v>
      </c>
      <c r="I27" s="100">
        <f>'Betriebsgrößenanalyse'!G54</f>
        <v>647.5</v>
      </c>
      <c r="J27" s="100">
        <v>0.0</v>
      </c>
      <c r="K27" s="100">
        <v>0.0</v>
      </c>
      <c r="L27" s="100">
        <v>0.0</v>
      </c>
      <c r="M27" s="101">
        <f t="shared" si="16"/>
        <v>647.5</v>
      </c>
      <c r="N27" s="100">
        <f>'Betriebsgrößenanalyse'!L54</f>
        <v>647.5</v>
      </c>
      <c r="O27" s="100">
        <f>'Betriebsgrößenanalyse'!M54</f>
        <v>647.5</v>
      </c>
      <c r="P27" s="100">
        <f>'Betriebsgrößenanalyse'!N54</f>
        <v>647.5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6.5" hidden="1" customHeight="1">
      <c r="A28" s="89"/>
      <c r="B28" s="12"/>
      <c r="C28" s="1" t="s">
        <v>196</v>
      </c>
      <c r="D28" s="100">
        <v>0.0</v>
      </c>
      <c r="E28" s="100">
        <v>0.0</v>
      </c>
      <c r="F28" s="100">
        <v>0.0</v>
      </c>
      <c r="G28" s="100">
        <v>0.0</v>
      </c>
      <c r="H28" s="101">
        <f t="shared" si="15"/>
        <v>0</v>
      </c>
      <c r="I28" s="100">
        <f>'Betriebsgrößenanalyse'!G55</f>
        <v>525</v>
      </c>
      <c r="J28" s="100">
        <v>0.0</v>
      </c>
      <c r="K28" s="100">
        <v>0.0</v>
      </c>
      <c r="L28" s="100">
        <v>0.0</v>
      </c>
      <c r="M28" s="101">
        <f t="shared" si="16"/>
        <v>525</v>
      </c>
      <c r="N28" s="100">
        <v>0.0</v>
      </c>
      <c r="O28" s="100">
        <v>0.0</v>
      </c>
      <c r="P28" s="100">
        <v>0.0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6.5" hidden="1" customHeight="1">
      <c r="A29" s="89"/>
      <c r="B29" s="12"/>
      <c r="C29" s="1" t="s">
        <v>197</v>
      </c>
      <c r="D29" s="100">
        <v>0.0</v>
      </c>
      <c r="E29" s="100">
        <v>0.0</v>
      </c>
      <c r="F29" s="100">
        <f>'Betriebsgrößenanalyse'!G56</f>
        <v>262.5</v>
      </c>
      <c r="G29" s="100">
        <v>0.0</v>
      </c>
      <c r="H29" s="101">
        <f t="shared" si="15"/>
        <v>262.5</v>
      </c>
      <c r="I29" s="100">
        <v>0.0</v>
      </c>
      <c r="J29" s="100">
        <v>0.0</v>
      </c>
      <c r="K29" s="100">
        <v>0.0</v>
      </c>
      <c r="L29" s="100">
        <v>0.0</v>
      </c>
      <c r="M29" s="101">
        <f t="shared" si="16"/>
        <v>0</v>
      </c>
      <c r="N29" s="100">
        <f>'Betriebsgrößenanalyse'!O56</f>
        <v>262.5</v>
      </c>
      <c r="O29" s="100">
        <f>'Betriebsgrößenanalyse'!P56</f>
        <v>262.5</v>
      </c>
      <c r="P29" s="100">
        <f>'Betriebsgrößenanalyse'!Q56</f>
        <v>262.5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6.5" customHeight="1">
      <c r="A30" s="93"/>
      <c r="B30" s="5" t="s">
        <v>269</v>
      </c>
      <c r="C30" s="102"/>
      <c r="D30" s="101">
        <f t="shared" ref="D30:P30" si="20">SUM(D31:D36)</f>
        <v>0</v>
      </c>
      <c r="E30" s="101">
        <f t="shared" si="20"/>
        <v>0</v>
      </c>
      <c r="F30" s="101">
        <f t="shared" si="20"/>
        <v>0</v>
      </c>
      <c r="G30" s="101">
        <f t="shared" si="20"/>
        <v>0</v>
      </c>
      <c r="H30" s="101">
        <f t="shared" si="20"/>
        <v>0</v>
      </c>
      <c r="I30" s="101">
        <f t="shared" si="20"/>
        <v>806.66</v>
      </c>
      <c r="J30" s="101">
        <f t="shared" si="20"/>
        <v>1569.146667</v>
      </c>
      <c r="K30" s="101">
        <f t="shared" si="20"/>
        <v>2049.556667</v>
      </c>
      <c r="L30" s="101">
        <f t="shared" si="20"/>
        <v>1788.736667</v>
      </c>
      <c r="M30" s="101">
        <f t="shared" si="20"/>
        <v>6214.1</v>
      </c>
      <c r="N30" s="101">
        <f t="shared" si="20"/>
        <v>7089.1</v>
      </c>
      <c r="O30" s="101">
        <f t="shared" si="20"/>
        <v>7089.1</v>
      </c>
      <c r="P30" s="101">
        <f t="shared" si="20"/>
        <v>7089.1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6.5" hidden="1" customHeight="1">
      <c r="A31" s="89"/>
      <c r="B31" s="12"/>
      <c r="C31" s="57" t="s">
        <v>85</v>
      </c>
      <c r="D31" s="100">
        <v>0.0</v>
      </c>
      <c r="E31" s="100">
        <v>0.0</v>
      </c>
      <c r="F31" s="100">
        <v>0.0</v>
      </c>
      <c r="G31" s="100">
        <v>0.0</v>
      </c>
      <c r="H31" s="101">
        <f t="shared" ref="H31:H36" si="21">SUM(D31:G31)</f>
        <v>0</v>
      </c>
      <c r="I31" s="100">
        <f>'Betriebsgrößenanalyse'!$G$58/4</f>
        <v>0</v>
      </c>
      <c r="J31" s="100">
        <f>'Betriebsgrößenanalyse'!$G$58/4</f>
        <v>0</v>
      </c>
      <c r="K31" s="100">
        <f>'Betriebsgrößenanalyse'!$G$58/4</f>
        <v>0</v>
      </c>
      <c r="L31" s="100">
        <f>'Betriebsgrößenanalyse'!$G$58/4</f>
        <v>0</v>
      </c>
      <c r="M31" s="101">
        <f t="shared" ref="M31:M36" si="22">SUM(I31:L31)</f>
        <v>0</v>
      </c>
      <c r="N31" s="100">
        <f>'Betriebsgrößenanalyse'!$G$58</f>
        <v>0</v>
      </c>
      <c r="O31" s="100">
        <f>'Betriebsgrößenanalyse'!$G$58</f>
        <v>0</v>
      </c>
      <c r="P31" s="100">
        <f>'Betriebsgrößenanalyse'!$G$58</f>
        <v>0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6.5" hidden="1" customHeight="1">
      <c r="A32" s="89"/>
      <c r="B32" s="12"/>
      <c r="C32" s="54" t="s">
        <v>270</v>
      </c>
      <c r="D32" s="100">
        <v>0.0</v>
      </c>
      <c r="E32" s="100">
        <v>0.0</v>
      </c>
      <c r="F32" s="100">
        <v>0.0</v>
      </c>
      <c r="G32" s="100">
        <v>0.0</v>
      </c>
      <c r="H32" s="101">
        <f t="shared" si="21"/>
        <v>0</v>
      </c>
      <c r="I32" s="100">
        <f>'Betriebsgrößenanalyse'!$G$59*0.1</f>
        <v>130.41</v>
      </c>
      <c r="J32" s="100">
        <f>'Betriebsgrößenanalyse'!$G$59*0.3</f>
        <v>391.23</v>
      </c>
      <c r="K32" s="100">
        <f>'Betriebsgrößenanalyse'!$G$59*0.4</f>
        <v>521.64</v>
      </c>
      <c r="L32" s="100">
        <f>'Betriebsgrößenanalyse'!$G$59*0.2</f>
        <v>260.82</v>
      </c>
      <c r="M32" s="101">
        <f t="shared" si="22"/>
        <v>1304.1</v>
      </c>
      <c r="N32" s="100">
        <f>'Betriebsgrößenanalyse'!$G$59</f>
        <v>1304.1</v>
      </c>
      <c r="O32" s="100">
        <f>'Betriebsgrößenanalyse'!$G$59</f>
        <v>1304.1</v>
      </c>
      <c r="P32" s="100">
        <f>'Betriebsgrößenanalyse'!$G$59</f>
        <v>1304.1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6.5" hidden="1" customHeight="1">
      <c r="A33" s="89"/>
      <c r="B33" s="12"/>
      <c r="C33" s="54" t="s">
        <v>199</v>
      </c>
      <c r="D33" s="100">
        <v>0.0</v>
      </c>
      <c r="E33" s="100">
        <v>0.0</v>
      </c>
      <c r="F33" s="100">
        <v>0.0</v>
      </c>
      <c r="G33" s="100">
        <v>0.0</v>
      </c>
      <c r="H33" s="101">
        <f t="shared" si="21"/>
        <v>0</v>
      </c>
      <c r="I33" s="100">
        <f>'Betriebsgrößenanalyse'!$G$60/4</f>
        <v>168.75</v>
      </c>
      <c r="J33" s="100">
        <f>'Betriebsgrößenanalyse'!$G$60/4</f>
        <v>168.75</v>
      </c>
      <c r="K33" s="100">
        <f>'Betriebsgrößenanalyse'!$G$60/4</f>
        <v>168.75</v>
      </c>
      <c r="L33" s="100">
        <f>'Betriebsgrößenanalyse'!$G$60/4</f>
        <v>168.75</v>
      </c>
      <c r="M33" s="101">
        <f t="shared" si="22"/>
        <v>675</v>
      </c>
      <c r="N33" s="100">
        <f>'Betriebsgrößenanalyse'!$G$60</f>
        <v>675</v>
      </c>
      <c r="O33" s="100">
        <f>'Betriebsgrößenanalyse'!$G$60</f>
        <v>675</v>
      </c>
      <c r="P33" s="100">
        <f>'Betriebsgrößenanalyse'!$G$60</f>
        <v>675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6.5" hidden="1" customHeight="1">
      <c r="A34" s="89"/>
      <c r="B34" s="12"/>
      <c r="C34" s="54" t="s">
        <v>200</v>
      </c>
      <c r="D34" s="100">
        <v>0.0</v>
      </c>
      <c r="E34" s="100">
        <v>0.0</v>
      </c>
      <c r="F34" s="100">
        <v>0.0</v>
      </c>
      <c r="G34" s="100">
        <v>0.0</v>
      </c>
      <c r="H34" s="101">
        <f t="shared" si="21"/>
        <v>0</v>
      </c>
      <c r="I34" s="100">
        <f>'Betriebsgrößenanalyse'!$G$61/12*1.5</f>
        <v>357.5</v>
      </c>
      <c r="J34" s="100">
        <f>'Betriebsgrößenanalyse'!$G$61/12*3.5</f>
        <v>834.1666667</v>
      </c>
      <c r="K34" s="100">
        <f>'Betriebsgrößenanalyse'!$G$61/12*3.5</f>
        <v>834.1666667</v>
      </c>
      <c r="L34" s="100">
        <f>'Betriebsgrößenanalyse'!$G$61/12*3.5</f>
        <v>834.1666667</v>
      </c>
      <c r="M34" s="101">
        <f t="shared" si="22"/>
        <v>2860</v>
      </c>
      <c r="N34" s="100">
        <f>'Betriebsgrößenanalyse'!$G$61</f>
        <v>2860</v>
      </c>
      <c r="O34" s="100">
        <f>'Betriebsgrößenanalyse'!$G$61</f>
        <v>2860</v>
      </c>
      <c r="P34" s="100">
        <f>'Betriebsgrößenanalyse'!$G$61</f>
        <v>2860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6.5" hidden="1" customHeight="1">
      <c r="A35" s="89"/>
      <c r="B35" s="12"/>
      <c r="C35" s="54" t="s">
        <v>201</v>
      </c>
      <c r="D35" s="100">
        <v>0.0</v>
      </c>
      <c r="E35" s="100">
        <v>0.0</v>
      </c>
      <c r="F35" s="100">
        <v>0.0</v>
      </c>
      <c r="G35" s="100">
        <v>0.0</v>
      </c>
      <c r="H35" s="101">
        <f t="shared" si="21"/>
        <v>0</v>
      </c>
      <c r="I35" s="100">
        <v>0.0</v>
      </c>
      <c r="J35" s="100">
        <f>'Betriebsgrößenanalyse'!$G$62/12</f>
        <v>175</v>
      </c>
      <c r="K35" s="100">
        <f>'Betriebsgrößenanalyse'!$G$62/12*3</f>
        <v>525</v>
      </c>
      <c r="L35" s="100">
        <f>'Betriebsgrößenanalyse'!$G$62/12*3</f>
        <v>525</v>
      </c>
      <c r="M35" s="101">
        <f t="shared" si="22"/>
        <v>1225</v>
      </c>
      <c r="N35" s="100">
        <f>'Betriebsgrößenanalyse'!$G$62</f>
        <v>2100</v>
      </c>
      <c r="O35" s="100">
        <f>'Betriebsgrößenanalyse'!$G$62</f>
        <v>2100</v>
      </c>
      <c r="P35" s="100">
        <f>'Betriebsgrößenanalyse'!$G$62</f>
        <v>2100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6.5" hidden="1" customHeight="1">
      <c r="A36" s="89"/>
      <c r="B36" s="12"/>
      <c r="C36" s="54" t="s">
        <v>89</v>
      </c>
      <c r="D36" s="100">
        <v>0.0</v>
      </c>
      <c r="E36" s="100">
        <v>0.0</v>
      </c>
      <c r="F36" s="100">
        <v>0.0</v>
      </c>
      <c r="G36" s="100">
        <v>0.0</v>
      </c>
      <c r="H36" s="101">
        <f t="shared" si="21"/>
        <v>0</v>
      </c>
      <c r="I36" s="100">
        <f>'Betriebsgrößenanalyse'!G63</f>
        <v>150</v>
      </c>
      <c r="J36" s="100">
        <v>0.0</v>
      </c>
      <c r="K36" s="100">
        <v>0.0</v>
      </c>
      <c r="L36" s="100">
        <v>0.0</v>
      </c>
      <c r="M36" s="101">
        <f t="shared" si="22"/>
        <v>150</v>
      </c>
      <c r="N36" s="100">
        <f>'Betriebsgrößenanalyse'!G63</f>
        <v>150</v>
      </c>
      <c r="O36" s="100">
        <f>'Betriebsgrößenanalyse'!G63</f>
        <v>150</v>
      </c>
      <c r="P36" s="100">
        <f>'Betriebsgrößenanalyse'!G63</f>
        <v>150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6.5" customHeight="1">
      <c r="A37" s="93"/>
      <c r="B37" s="102" t="s">
        <v>271</v>
      </c>
      <c r="C37" s="102"/>
      <c r="D37" s="101">
        <f t="shared" ref="D37:P37" si="23">SUM(D38:D39)</f>
        <v>0</v>
      </c>
      <c r="E37" s="101">
        <f t="shared" si="23"/>
        <v>0</v>
      </c>
      <c r="F37" s="101">
        <f t="shared" si="23"/>
        <v>0</v>
      </c>
      <c r="G37" s="101">
        <f t="shared" si="23"/>
        <v>0</v>
      </c>
      <c r="H37" s="101">
        <f t="shared" si="23"/>
        <v>0</v>
      </c>
      <c r="I37" s="101">
        <f t="shared" si="23"/>
        <v>9022.739055</v>
      </c>
      <c r="J37" s="101">
        <f t="shared" si="23"/>
        <v>16850.95923</v>
      </c>
      <c r="K37" s="101">
        <f t="shared" si="23"/>
        <v>17438.7202</v>
      </c>
      <c r="L37" s="101">
        <f t="shared" si="23"/>
        <v>17438.7202</v>
      </c>
      <c r="M37" s="101">
        <f t="shared" si="23"/>
        <v>60751.13869</v>
      </c>
      <c r="N37" s="101">
        <f t="shared" si="23"/>
        <v>70104.88081</v>
      </c>
      <c r="O37" s="101">
        <f t="shared" si="23"/>
        <v>70104.88081</v>
      </c>
      <c r="P37" s="101">
        <f t="shared" si="23"/>
        <v>70104.88081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6.5" hidden="1" customHeight="1">
      <c r="A38" s="54"/>
      <c r="B38" s="54"/>
      <c r="C38" s="54" t="s">
        <v>272</v>
      </c>
      <c r="D38" s="100">
        <v>0.0</v>
      </c>
      <c r="E38" s="100">
        <v>0.0</v>
      </c>
      <c r="F38" s="100">
        <v>0.0</v>
      </c>
      <c r="G38" s="100">
        <v>0.0</v>
      </c>
      <c r="H38" s="101">
        <f t="shared" ref="H38:H40" si="24">SUM(D38:G38)</f>
        <v>0</v>
      </c>
      <c r="I38" s="100">
        <f>'Betriebsgrößenanalyse'!G66/4*0.5+'Betriebsgrößenanalyse'!G70/4</f>
        <v>8672.739055</v>
      </c>
      <c r="J38" s="100">
        <f>'Betriebsgrößenanalyse'!G66/4+(SUM('Betriebsgrößenanalyse'!G67:G69)/12*2.5+'Betriebsgrößenanalyse'!G70/4)</f>
        <v>16850.95923</v>
      </c>
      <c r="K38" s="100">
        <f>'Betriebsgrößenanalyse'!G66/4+(SUM('Betriebsgrößenanalyse'!G67:G69)/4)+'Betriebsgrößenanalyse'!G70/4</f>
        <v>17438.7202</v>
      </c>
      <c r="L38" s="100">
        <f>'Betriebsgrößenanalyse'!G66/4+(SUM('Betriebsgrößenanalyse'!G67:G69)/4)+'Betriebsgrößenanalyse'!G70/4</f>
        <v>17438.7202</v>
      </c>
      <c r="M38" s="101">
        <f t="shared" ref="M38:M40" si="25">SUM(I38:L38)</f>
        <v>60401.13869</v>
      </c>
      <c r="N38" s="100">
        <f>SUM('Betriebsgrößenanalyse'!$G$66:$G$70)</f>
        <v>69754.88081</v>
      </c>
      <c r="O38" s="100">
        <f>SUM('Betriebsgrößenanalyse'!$G$66:$G$70)</f>
        <v>69754.88081</v>
      </c>
      <c r="P38" s="100">
        <f>SUM('Betriebsgrößenanalyse'!$G$66:$G$70)</f>
        <v>69754.88081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6.5" hidden="1" customHeight="1">
      <c r="A39" s="89"/>
      <c r="B39" s="54"/>
      <c r="C39" s="54" t="s">
        <v>273</v>
      </c>
      <c r="D39" s="100">
        <v>0.0</v>
      </c>
      <c r="E39" s="100">
        <v>0.0</v>
      </c>
      <c r="F39" s="100">
        <v>0.0</v>
      </c>
      <c r="G39" s="100">
        <v>0.0</v>
      </c>
      <c r="H39" s="101">
        <f t="shared" si="24"/>
        <v>0</v>
      </c>
      <c r="I39" s="100">
        <f>'Betriebsgrößenanalyse'!G71</f>
        <v>350</v>
      </c>
      <c r="J39" s="100">
        <v>0.0</v>
      </c>
      <c r="K39" s="100">
        <v>0.0</v>
      </c>
      <c r="L39" s="100">
        <v>0.0</v>
      </c>
      <c r="M39" s="101">
        <f t="shared" si="25"/>
        <v>350</v>
      </c>
      <c r="N39" s="100">
        <f>'Betriebsgrößenanalyse'!$G$71</f>
        <v>350</v>
      </c>
      <c r="O39" s="100">
        <f>'Betriebsgrößenanalyse'!$G$71</f>
        <v>350</v>
      </c>
      <c r="P39" s="100">
        <f>'Betriebsgrößenanalyse'!$G$71</f>
        <v>350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6.5" customHeight="1">
      <c r="A40" s="93"/>
      <c r="B40" s="102" t="s">
        <v>274</v>
      </c>
      <c r="C40" s="102"/>
      <c r="D40" s="101">
        <v>0.0</v>
      </c>
      <c r="E40" s="101">
        <v>0.0</v>
      </c>
      <c r="F40" s="101">
        <v>0.0</v>
      </c>
      <c r="G40" s="101">
        <v>0.0</v>
      </c>
      <c r="H40" s="101">
        <f t="shared" si="24"/>
        <v>0</v>
      </c>
      <c r="I40" s="101" t="str">
        <f>Investitionsplanung!$I$79/4</f>
        <v>#REF!</v>
      </c>
      <c r="J40" s="101" t="str">
        <f>Investitionsplanung!$I$79/4</f>
        <v>#REF!</v>
      </c>
      <c r="K40" s="101" t="str">
        <f>Investitionsplanung!$I$79/4</f>
        <v>#REF!</v>
      </c>
      <c r="L40" s="101" t="str">
        <f>Investitionsplanung!$I$79/4</f>
        <v>#REF!</v>
      </c>
      <c r="M40" s="101" t="str">
        <f t="shared" si="25"/>
        <v>#REF!</v>
      </c>
      <c r="N40" s="101" t="str">
        <f>Investitionsplanung!$K$79</f>
        <v>#REF!</v>
      </c>
      <c r="O40" s="101" t="str">
        <f>Investitionsplanung!$M$79</f>
        <v>#REF!</v>
      </c>
      <c r="P40" s="101" t="str">
        <f>Investitionsplanung!$O$79</f>
        <v>#REF!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73.5" customHeight="1">
      <c r="A41" s="93"/>
      <c r="B41" s="102" t="s">
        <v>275</v>
      </c>
      <c r="C41" s="102"/>
      <c r="D41" s="101">
        <f t="shared" ref="D41:P41" si="26">SUM(D42:D72)</f>
        <v>0</v>
      </c>
      <c r="E41" s="101">
        <f t="shared" si="26"/>
        <v>595.5833333</v>
      </c>
      <c r="F41" s="101">
        <f t="shared" si="26"/>
        <v>341.1406298</v>
      </c>
      <c r="G41" s="101">
        <f t="shared" si="26"/>
        <v>87.27050371</v>
      </c>
      <c r="H41" s="101">
        <f t="shared" si="26"/>
        <v>1023.994467</v>
      </c>
      <c r="I41" s="101">
        <f t="shared" si="26"/>
        <v>4726.888798</v>
      </c>
      <c r="J41" s="101">
        <f t="shared" si="26"/>
        <v>3886.888798</v>
      </c>
      <c r="K41" s="101">
        <f t="shared" si="26"/>
        <v>3886.888798</v>
      </c>
      <c r="L41" s="101">
        <f t="shared" si="26"/>
        <v>3886.888798</v>
      </c>
      <c r="M41" s="101">
        <f t="shared" si="26"/>
        <v>16387.55519</v>
      </c>
      <c r="N41" s="101">
        <f t="shared" si="26"/>
        <v>16387.55519</v>
      </c>
      <c r="O41" s="101">
        <f t="shared" si="26"/>
        <v>16387.55519</v>
      </c>
      <c r="P41" s="101">
        <f t="shared" si="26"/>
        <v>16387.55519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6.5" customHeight="1">
      <c r="A42" s="89"/>
      <c r="B42" s="54"/>
      <c r="C42" s="103" t="str">
        <f>'Betriebsgrößenanalyse'!A75</f>
        <v>Pachtzinsen</v>
      </c>
      <c r="D42" s="100">
        <v>0.0</v>
      </c>
      <c r="E42" s="100">
        <v>0.0</v>
      </c>
      <c r="F42" s="100">
        <v>0.0</v>
      </c>
      <c r="G42" s="100">
        <v>0.0</v>
      </c>
      <c r="H42" s="101">
        <f t="shared" ref="H42:H53" si="27">SUM(D42:G42)</f>
        <v>0</v>
      </c>
      <c r="I42" s="100">
        <f>Datengrundlage!C34</f>
        <v>840</v>
      </c>
      <c r="J42" s="100">
        <v>0.0</v>
      </c>
      <c r="K42" s="100">
        <v>0.0</v>
      </c>
      <c r="L42" s="100">
        <v>0.0</v>
      </c>
      <c r="M42" s="101">
        <f t="shared" ref="M42:M53" si="28">SUM(I42:L42)</f>
        <v>840</v>
      </c>
      <c r="N42" s="100">
        <f>Datengrundlage!C34</f>
        <v>840</v>
      </c>
      <c r="O42" s="100">
        <f>Datengrundlage!C34</f>
        <v>840</v>
      </c>
      <c r="P42" s="100">
        <f>Datengrundlage!C34</f>
        <v>840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6.5" customHeight="1">
      <c r="A43" s="89"/>
      <c r="B43" s="54"/>
      <c r="C43" s="103" t="str">
        <f>'Betriebsgrößenanalyse'!A76</f>
        <v>Holz, Gas, Strom, Wasser für Büro, Küche-, Umkleide- und Pausenbereich</v>
      </c>
      <c r="D43" s="100">
        <v>0.0</v>
      </c>
      <c r="E43" s="100">
        <v>0.0</v>
      </c>
      <c r="F43" s="100">
        <v>0.0</v>
      </c>
      <c r="G43" s="100">
        <v>0.0</v>
      </c>
      <c r="H43" s="101">
        <f t="shared" si="27"/>
        <v>0</v>
      </c>
      <c r="I43" s="100">
        <f>'Betriebsgrößenanalyse'!$G$76/4</f>
        <v>0</v>
      </c>
      <c r="J43" s="100">
        <f>'Betriebsgrößenanalyse'!$G$76/4</f>
        <v>0</v>
      </c>
      <c r="K43" s="100">
        <f>'Betriebsgrößenanalyse'!$G$76/4</f>
        <v>0</v>
      </c>
      <c r="L43" s="100">
        <f>'Betriebsgrößenanalyse'!$G$76/4</f>
        <v>0</v>
      </c>
      <c r="M43" s="101">
        <f t="shared" si="28"/>
        <v>0</v>
      </c>
      <c r="N43" s="100" t="str">
        <f>'Betriebsgrößenanalyse'!$G$76</f>
        <v/>
      </c>
      <c r="O43" s="100" t="str">
        <f>'Betriebsgrößenanalyse'!$G$76</f>
        <v/>
      </c>
      <c r="P43" s="100" t="str">
        <f>'Betriebsgrößenanalyse'!$G$76</f>
        <v/>
      </c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6.5" customHeight="1">
      <c r="A44" s="89"/>
      <c r="B44" s="54"/>
      <c r="C44" s="103" t="str">
        <f>'Betriebsgrößenanalyse'!A77</f>
        <v>D&amp;O-Versicherung</v>
      </c>
      <c r="D44" s="100">
        <v>0.0</v>
      </c>
      <c r="E44" s="100">
        <v>0.0</v>
      </c>
      <c r="F44" s="100">
        <f>'Betriebsgrößenanalyse'!G77/12*2</f>
        <v>37.81512605</v>
      </c>
      <c r="G44" s="100">
        <v>0.0</v>
      </c>
      <c r="H44" s="101">
        <f t="shared" si="27"/>
        <v>37.81512605</v>
      </c>
      <c r="I44" s="100">
        <f>'Betriebsgrößenanalyse'!$G$77/4</f>
        <v>56.72268908</v>
      </c>
      <c r="J44" s="100">
        <f>'Betriebsgrößenanalyse'!$G$77/4</f>
        <v>56.72268908</v>
      </c>
      <c r="K44" s="100">
        <f>'Betriebsgrößenanalyse'!$G$77/4</f>
        <v>56.72268908</v>
      </c>
      <c r="L44" s="100">
        <f>'Betriebsgrößenanalyse'!$G$77/4</f>
        <v>56.72268908</v>
      </c>
      <c r="M44" s="101">
        <f t="shared" si="28"/>
        <v>226.8907563</v>
      </c>
      <c r="N44" s="100">
        <f>'Betriebsgrößenanalyse'!$G$77</f>
        <v>226.8907563</v>
      </c>
      <c r="O44" s="100">
        <f>'Betriebsgrößenanalyse'!$G$77</f>
        <v>226.8907563</v>
      </c>
      <c r="P44" s="100">
        <f>'Betriebsgrößenanalyse'!$G$77</f>
        <v>226.8907563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6.5" customHeight="1">
      <c r="A45" s="89"/>
      <c r="B45" s="54"/>
      <c r="C45" s="103" t="str">
        <f>'Betriebsgrößenanalyse'!A78</f>
        <v>Versicherungskosten für Pflanzen (Hagel, Starkregen, Sturm, Frost)</v>
      </c>
      <c r="D45" s="100">
        <v>0.0</v>
      </c>
      <c r="E45" s="100">
        <v>0.0</v>
      </c>
      <c r="F45" s="100">
        <v>0.0</v>
      </c>
      <c r="G45" s="100">
        <v>0.0</v>
      </c>
      <c r="H45" s="101">
        <f t="shared" si="27"/>
        <v>0</v>
      </c>
      <c r="I45" s="100">
        <f>'Betriebsgrößenanalyse'!$G78/4</f>
        <v>16.078125</v>
      </c>
      <c r="J45" s="100">
        <f>'Betriebsgrößenanalyse'!$G$78/4</f>
        <v>16.078125</v>
      </c>
      <c r="K45" s="100">
        <f>'Betriebsgrößenanalyse'!$G$78/4</f>
        <v>16.078125</v>
      </c>
      <c r="L45" s="100">
        <f>'Betriebsgrößenanalyse'!$G$78/4</f>
        <v>16.078125</v>
      </c>
      <c r="M45" s="101">
        <f t="shared" si="28"/>
        <v>64.3125</v>
      </c>
      <c r="N45" s="100">
        <f>'Betriebsgrößenanalyse'!$G78</f>
        <v>64.3125</v>
      </c>
      <c r="O45" s="100">
        <f>'Betriebsgrößenanalyse'!$G$78</f>
        <v>64.3125</v>
      </c>
      <c r="P45" s="100">
        <f>'Betriebsgrößenanalyse'!$G$78</f>
        <v>64.3125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6.5" customHeight="1">
      <c r="A46" s="89"/>
      <c r="B46" s="54"/>
      <c r="C46" s="103" t="str">
        <f>'Betriebsgrößenanalyse'!A79</f>
        <v>Versicherungskosten für Lagergut (Diebstahl, Vandalismus, Feuer, Sturm, Hagel)</v>
      </c>
      <c r="D46" s="100">
        <v>0.0</v>
      </c>
      <c r="E46" s="100">
        <v>0.0</v>
      </c>
      <c r="F46" s="100">
        <v>0.0</v>
      </c>
      <c r="G46" s="100">
        <v>0.0</v>
      </c>
      <c r="H46" s="101">
        <f t="shared" si="27"/>
        <v>0</v>
      </c>
      <c r="I46" s="100">
        <f>'Betriebsgrößenanalyse'!$G$79/4</f>
        <v>92.8925</v>
      </c>
      <c r="J46" s="100">
        <f>'Betriebsgrößenanalyse'!$G$79/4</f>
        <v>92.8925</v>
      </c>
      <c r="K46" s="100">
        <f>'Betriebsgrößenanalyse'!$G$79/4</f>
        <v>92.8925</v>
      </c>
      <c r="L46" s="100">
        <f>'Betriebsgrößenanalyse'!$G$79/4</f>
        <v>92.8925</v>
      </c>
      <c r="M46" s="101">
        <f t="shared" si="28"/>
        <v>371.57</v>
      </c>
      <c r="N46" s="100">
        <f>'Betriebsgrößenanalyse'!$G$79</f>
        <v>371.57</v>
      </c>
      <c r="O46" s="100">
        <f>'Betriebsgrößenanalyse'!$G$79</f>
        <v>371.57</v>
      </c>
      <c r="P46" s="100">
        <f>'Betriebsgrößenanalyse'!$G$79</f>
        <v>371.57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6.5" customHeight="1">
      <c r="A47" s="89"/>
      <c r="B47" s="54"/>
      <c r="C47" s="103" t="str">
        <f>'Betriebsgrößenanalyse'!A80</f>
        <v>Versicherungskosten für Maschinen und andere Anlagen und BGA (Feuer)</v>
      </c>
      <c r="D47" s="100">
        <v>0.0</v>
      </c>
      <c r="E47" s="100">
        <v>0.0</v>
      </c>
      <c r="F47" s="100">
        <v>0.0</v>
      </c>
      <c r="G47" s="100">
        <v>0.0</v>
      </c>
      <c r="H47" s="101">
        <f t="shared" si="27"/>
        <v>0</v>
      </c>
      <c r="I47" s="100">
        <f>'Betriebsgrößenanalyse'!$G$80/4</f>
        <v>42.2</v>
      </c>
      <c r="J47" s="100">
        <f>'Betriebsgrößenanalyse'!$G$80/4</f>
        <v>42.2</v>
      </c>
      <c r="K47" s="100">
        <f>'Betriebsgrößenanalyse'!$G$80/4</f>
        <v>42.2</v>
      </c>
      <c r="L47" s="100">
        <f>'Betriebsgrößenanalyse'!$G$80/4</f>
        <v>42.2</v>
      </c>
      <c r="M47" s="101">
        <f t="shared" si="28"/>
        <v>168.8</v>
      </c>
      <c r="N47" s="100">
        <f>'Betriebsgrößenanalyse'!$G80</f>
        <v>168.8</v>
      </c>
      <c r="O47" s="100">
        <f>'Betriebsgrößenanalyse'!$G80</f>
        <v>168.8</v>
      </c>
      <c r="P47" s="100">
        <f>'Betriebsgrößenanalyse'!$G80</f>
        <v>168.8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6.5" customHeight="1">
      <c r="A48" s="89"/>
      <c r="B48" s="54"/>
      <c r="C48" s="103" t="str">
        <f>'Betriebsgrößenanalyse'!A81</f>
        <v>Versicherungskosten für Gewächshäuser</v>
      </c>
      <c r="D48" s="100">
        <v>0.0</v>
      </c>
      <c r="E48" s="100">
        <v>0.0</v>
      </c>
      <c r="F48" s="100">
        <v>0.0</v>
      </c>
      <c r="G48" s="100">
        <v>0.0</v>
      </c>
      <c r="H48" s="101">
        <f t="shared" si="27"/>
        <v>0</v>
      </c>
      <c r="I48" s="100">
        <f>'Betriebsgrößenanalyse'!$G81/4</f>
        <v>297.5</v>
      </c>
      <c r="J48" s="100">
        <f>'Betriebsgrößenanalyse'!$G$81/4</f>
        <v>297.5</v>
      </c>
      <c r="K48" s="100">
        <f>'Betriebsgrößenanalyse'!$G$81/4</f>
        <v>297.5</v>
      </c>
      <c r="L48" s="100">
        <f>'Betriebsgrößenanalyse'!$G$81/4</f>
        <v>297.5</v>
      </c>
      <c r="M48" s="101">
        <f t="shared" si="28"/>
        <v>1190</v>
      </c>
      <c r="N48" s="100">
        <f>'Betriebsgrößenanalyse'!$G81</f>
        <v>1190</v>
      </c>
      <c r="O48" s="100">
        <f>'Betriebsgrößenanalyse'!$G81</f>
        <v>1190</v>
      </c>
      <c r="P48" s="100">
        <f>'Betriebsgrößenanalyse'!$G81</f>
        <v>1190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6.5" customHeight="1">
      <c r="A49" s="89"/>
      <c r="B49" s="54"/>
      <c r="C49" s="103" t="str">
        <f>'Betriebsgrößenanalyse'!A82</f>
        <v>Betriebshaftpflichtversicherung</v>
      </c>
      <c r="D49" s="100">
        <v>0.0</v>
      </c>
      <c r="E49" s="100">
        <v>0.0</v>
      </c>
      <c r="F49" s="100">
        <f>'Betriebsgrößenanalyse'!$G82/12*2</f>
        <v>41.055</v>
      </c>
      <c r="G49" s="100">
        <v>0.0</v>
      </c>
      <c r="H49" s="101">
        <f t="shared" si="27"/>
        <v>41.055</v>
      </c>
      <c r="I49" s="100">
        <f>'Betriebsgrößenanalyse'!$G82/4</f>
        <v>61.5825</v>
      </c>
      <c r="J49" s="100">
        <f>'Betriebsgrößenanalyse'!$G82/4</f>
        <v>61.5825</v>
      </c>
      <c r="K49" s="100">
        <f>'Betriebsgrößenanalyse'!$G82/4</f>
        <v>61.5825</v>
      </c>
      <c r="L49" s="100">
        <f>'Betriebsgrößenanalyse'!$G82/4</f>
        <v>61.5825</v>
      </c>
      <c r="M49" s="101">
        <f t="shared" si="28"/>
        <v>246.33</v>
      </c>
      <c r="N49" s="100">
        <f>'Betriebsgrößenanalyse'!$G82</f>
        <v>246.33</v>
      </c>
      <c r="O49" s="100">
        <f>'Betriebsgrößenanalyse'!$G82</f>
        <v>246.33</v>
      </c>
      <c r="P49" s="100">
        <f>'Betriebsgrößenanalyse'!$G82</f>
        <v>246.33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6.5" customHeight="1">
      <c r="A50" s="89"/>
      <c r="B50" s="54"/>
      <c r="C50" s="103" t="str">
        <f>'Betriebsgrößenanalyse'!A83</f>
        <v>Beiträge (Landwirtschaftskammer, Naturland,..)</v>
      </c>
      <c r="D50" s="100">
        <v>0.0</v>
      </c>
      <c r="E50" s="100">
        <v>0.0</v>
      </c>
      <c r="F50" s="100">
        <v>0.0</v>
      </c>
      <c r="G50" s="100">
        <v>0.0</v>
      </c>
      <c r="H50" s="101">
        <f t="shared" si="27"/>
        <v>0</v>
      </c>
      <c r="I50" s="100">
        <f>'Betriebsgrößenanalyse'!$G83/4</f>
        <v>305.8125</v>
      </c>
      <c r="J50" s="100">
        <f>'Betriebsgrößenanalyse'!$G83/4</f>
        <v>305.8125</v>
      </c>
      <c r="K50" s="100">
        <f>'Betriebsgrößenanalyse'!$G83/4</f>
        <v>305.8125</v>
      </c>
      <c r="L50" s="100">
        <f>'Betriebsgrößenanalyse'!$G83/4</f>
        <v>305.8125</v>
      </c>
      <c r="M50" s="101">
        <f t="shared" si="28"/>
        <v>1223.25</v>
      </c>
      <c r="N50" s="100">
        <f>'Betriebsgrößenanalyse'!$G83</f>
        <v>1223.25</v>
      </c>
      <c r="O50" s="100">
        <f>'Betriebsgrößenanalyse'!$G83</f>
        <v>1223.25</v>
      </c>
      <c r="P50" s="100">
        <f>'Betriebsgrößenanalyse'!$G83</f>
        <v>1223.25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6.5" customHeight="1">
      <c r="A51" s="89"/>
      <c r="B51" s="54"/>
      <c r="C51" s="103" t="str">
        <f>'Betriebsgrößenanalyse'!A84</f>
        <v>Kfz-Versicherung</v>
      </c>
      <c r="D51" s="100">
        <v>0.0</v>
      </c>
      <c r="E51" s="100">
        <v>0.0</v>
      </c>
      <c r="F51" s="100">
        <v>0.0</v>
      </c>
      <c r="G51" s="100">
        <v>0.0</v>
      </c>
      <c r="H51" s="101">
        <f t="shared" si="27"/>
        <v>0</v>
      </c>
      <c r="I51" s="100">
        <f>'Betriebsgrößenanalyse'!$G84/4</f>
        <v>43.375</v>
      </c>
      <c r="J51" s="100">
        <f>'Betriebsgrößenanalyse'!$G84/4</f>
        <v>43.375</v>
      </c>
      <c r="K51" s="100">
        <f>'Betriebsgrößenanalyse'!$G84/4</f>
        <v>43.375</v>
      </c>
      <c r="L51" s="100">
        <f>'Betriebsgrößenanalyse'!$G84/4</f>
        <v>43.375</v>
      </c>
      <c r="M51" s="101">
        <f t="shared" si="28"/>
        <v>173.5</v>
      </c>
      <c r="N51" s="100">
        <f>'Betriebsgrößenanalyse'!$G84</f>
        <v>173.5</v>
      </c>
      <c r="O51" s="100">
        <f>'Betriebsgrößenanalyse'!$G84</f>
        <v>173.5</v>
      </c>
      <c r="P51" s="100">
        <f>'Betriebsgrößenanalyse'!$G84</f>
        <v>173.5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6.5" customHeight="1">
      <c r="A52" s="89"/>
      <c r="B52" s="54"/>
      <c r="C52" s="103" t="str">
        <f>'Betriebsgrößenanalyse'!A85</f>
        <v>Kfz-Transporter Unterhaltskosten</v>
      </c>
      <c r="D52" s="100">
        <v>0.0</v>
      </c>
      <c r="E52" s="100">
        <v>0.0</v>
      </c>
      <c r="F52" s="100">
        <v>0.0</v>
      </c>
      <c r="G52" s="100">
        <v>0.0</v>
      </c>
      <c r="H52" s="101">
        <f t="shared" si="27"/>
        <v>0</v>
      </c>
      <c r="I52" s="100">
        <f>'Betriebsgrößenanalyse'!$G85/4</f>
        <v>466.74</v>
      </c>
      <c r="J52" s="100">
        <f>'Betriebsgrößenanalyse'!$G85/4</f>
        <v>466.74</v>
      </c>
      <c r="K52" s="100">
        <f>'Betriebsgrößenanalyse'!$G85/4</f>
        <v>466.74</v>
      </c>
      <c r="L52" s="100">
        <f>'Betriebsgrößenanalyse'!$G85/4</f>
        <v>466.74</v>
      </c>
      <c r="M52" s="101">
        <f t="shared" si="28"/>
        <v>1866.96</v>
      </c>
      <c r="N52" s="100">
        <f>'Betriebsgrößenanalyse'!$G85</f>
        <v>1866.96</v>
      </c>
      <c r="O52" s="100">
        <f>'Betriebsgrößenanalyse'!$G85</f>
        <v>1866.96</v>
      </c>
      <c r="P52" s="100">
        <f>'Betriebsgrößenanalyse'!$G85</f>
        <v>1866.96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6.5" customHeight="1">
      <c r="A53" s="89"/>
      <c r="B53" s="54"/>
      <c r="C53" s="103" t="str">
        <f>'Betriebsgrößenanalyse'!A86</f>
        <v>Reparatur und Instandhaltung von Heizanlagen</v>
      </c>
      <c r="D53" s="100">
        <v>0.0</v>
      </c>
      <c r="E53" s="100">
        <v>0.0</v>
      </c>
      <c r="F53" s="100">
        <v>0.0</v>
      </c>
      <c r="G53" s="100">
        <v>0.0</v>
      </c>
      <c r="H53" s="101">
        <f t="shared" si="27"/>
        <v>0</v>
      </c>
      <c r="I53" s="100">
        <f>'Betriebsgrößenanalyse'!$G86/4</f>
        <v>0</v>
      </c>
      <c r="J53" s="100">
        <f>'Betriebsgrößenanalyse'!$G86/4</f>
        <v>0</v>
      </c>
      <c r="K53" s="100">
        <f>'Betriebsgrößenanalyse'!$G86/4</f>
        <v>0</v>
      </c>
      <c r="L53" s="100">
        <f>'Betriebsgrößenanalyse'!$G86/4</f>
        <v>0</v>
      </c>
      <c r="M53" s="101">
        <f t="shared" si="28"/>
        <v>0</v>
      </c>
      <c r="N53" s="100" t="str">
        <f>'Betriebsgrößenanalyse'!$G86</f>
        <v/>
      </c>
      <c r="O53" s="100" t="str">
        <f>'Betriebsgrößenanalyse'!$G86</f>
        <v/>
      </c>
      <c r="P53" s="100" t="str">
        <f>'Betriebsgrößenanalyse'!$G86</f>
        <v/>
      </c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6.5" customHeight="1">
      <c r="A54" s="89"/>
      <c r="B54" s="54"/>
      <c r="C54" s="103"/>
      <c r="D54" s="100"/>
      <c r="E54" s="100"/>
      <c r="F54" s="100"/>
      <c r="G54" s="100"/>
      <c r="H54" s="101"/>
      <c r="I54" s="101"/>
      <c r="J54" s="101"/>
      <c r="K54" s="101"/>
      <c r="L54" s="101"/>
      <c r="M54" s="101"/>
      <c r="N54" s="101"/>
      <c r="O54" s="101"/>
      <c r="P54" s="101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6.5" customHeight="1">
      <c r="A55" s="89"/>
      <c r="B55" s="54"/>
      <c r="C55" s="103" t="str">
        <f>'Betriebsgrößenanalyse'!A88</f>
        <v>Werbung</v>
      </c>
      <c r="D55" s="100">
        <v>0.0</v>
      </c>
      <c r="E55" s="100">
        <v>0.0</v>
      </c>
      <c r="F55" s="100">
        <f>'Betriebsgrößenanalyse'!G88/5</f>
        <v>175</v>
      </c>
      <c r="G55" s="100">
        <v>0.0</v>
      </c>
      <c r="H55" s="101">
        <f t="shared" ref="H55:H65" si="29">SUM(D55:G55)</f>
        <v>175</v>
      </c>
      <c r="I55" s="100">
        <f>'Betriebsgrößenanalyse'!$G88/4</f>
        <v>218.75</v>
      </c>
      <c r="J55" s="100">
        <f>'Betriebsgrößenanalyse'!$G88/4</f>
        <v>218.75</v>
      </c>
      <c r="K55" s="100">
        <f>'Betriebsgrößenanalyse'!$G88/4</f>
        <v>218.75</v>
      </c>
      <c r="L55" s="100">
        <f>'Betriebsgrößenanalyse'!$G88/4</f>
        <v>218.75</v>
      </c>
      <c r="M55" s="101">
        <f t="shared" ref="M55:M65" si="30">SUM(I55:L55)</f>
        <v>875</v>
      </c>
      <c r="N55" s="100">
        <f>'Betriebsgrößenanalyse'!$G88</f>
        <v>875</v>
      </c>
      <c r="O55" s="100">
        <f>'Betriebsgrößenanalyse'!$G88</f>
        <v>875</v>
      </c>
      <c r="P55" s="100">
        <f>'Betriebsgrößenanalyse'!$G88</f>
        <v>875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6.5" customHeight="1">
      <c r="A56" s="89"/>
      <c r="B56" s="54"/>
      <c r="C56" s="103" t="str">
        <f>'Betriebsgrößenanalyse'!A89</f>
        <v>Repräsentationskosten (Druckerzeugnisse)</v>
      </c>
      <c r="D56" s="100">
        <v>0.0</v>
      </c>
      <c r="E56" s="100">
        <f>'Betriebsgrößenanalyse'!G89*2</f>
        <v>581</v>
      </c>
      <c r="F56" s="100">
        <v>0.0</v>
      </c>
      <c r="G56" s="100">
        <v>0.0</v>
      </c>
      <c r="H56" s="101">
        <f t="shared" si="29"/>
        <v>581</v>
      </c>
      <c r="I56" s="100">
        <f>'Betriebsgrößenanalyse'!$G89/4</f>
        <v>72.625</v>
      </c>
      <c r="J56" s="100">
        <f>'Betriebsgrößenanalyse'!$G89/4</f>
        <v>72.625</v>
      </c>
      <c r="K56" s="100">
        <f>'Betriebsgrößenanalyse'!$G89/4</f>
        <v>72.625</v>
      </c>
      <c r="L56" s="100">
        <f>'Betriebsgrößenanalyse'!$G89/4</f>
        <v>72.625</v>
      </c>
      <c r="M56" s="101">
        <f t="shared" si="30"/>
        <v>290.5</v>
      </c>
      <c r="N56" s="100">
        <f>'Betriebsgrößenanalyse'!$G89</f>
        <v>290.5</v>
      </c>
      <c r="O56" s="100">
        <f>'Betriebsgrößenanalyse'!$G89</f>
        <v>290.5</v>
      </c>
      <c r="P56" s="100">
        <f>'Betriebsgrößenanalyse'!$G89</f>
        <v>290.5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6.5" customHeight="1">
      <c r="A57" s="89"/>
      <c r="B57" s="54"/>
      <c r="C57" s="103" t="str">
        <f>'Betriebsgrößenanalyse'!A90</f>
        <v>Bürobedarf</v>
      </c>
      <c r="D57" s="100">
        <v>0.0</v>
      </c>
      <c r="E57" s="100">
        <f>'Betriebsgrößenanalyse'!$G90/12/2</f>
        <v>14.58333333</v>
      </c>
      <c r="F57" s="100">
        <f>'Betriebsgrößenanalyse'!$G90/12/2</f>
        <v>14.58333333</v>
      </c>
      <c r="G57" s="100">
        <f>'Betriebsgrößenanalyse'!$G90/12/2</f>
        <v>14.58333333</v>
      </c>
      <c r="H57" s="101">
        <f t="shared" si="29"/>
        <v>43.75</v>
      </c>
      <c r="I57" s="100">
        <f>'Betriebsgrößenanalyse'!$G90/4</f>
        <v>87.5</v>
      </c>
      <c r="J57" s="100">
        <f>'Betriebsgrößenanalyse'!$G90/4</f>
        <v>87.5</v>
      </c>
      <c r="K57" s="100">
        <f>'Betriebsgrößenanalyse'!$G90/4</f>
        <v>87.5</v>
      </c>
      <c r="L57" s="100">
        <f>'Betriebsgrößenanalyse'!$G90/4</f>
        <v>87.5</v>
      </c>
      <c r="M57" s="101">
        <f t="shared" si="30"/>
        <v>350</v>
      </c>
      <c r="N57" s="100">
        <f>'Betriebsgrößenanalyse'!$G90</f>
        <v>350</v>
      </c>
      <c r="O57" s="100">
        <f>'Betriebsgrößenanalyse'!$G90</f>
        <v>350</v>
      </c>
      <c r="P57" s="100">
        <f>'Betriebsgrößenanalyse'!$G90</f>
        <v>350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6.5" customHeight="1">
      <c r="A58" s="89"/>
      <c r="B58" s="54"/>
      <c r="C58" s="103" t="str">
        <f>'Betriebsgrößenanalyse'!A91</f>
        <v>Telefon- und Internetkosten</v>
      </c>
      <c r="D58" s="100">
        <v>0.0</v>
      </c>
      <c r="E58" s="100">
        <v>0.0</v>
      </c>
      <c r="F58" s="100">
        <v>0.0</v>
      </c>
      <c r="G58" s="100">
        <v>0.0</v>
      </c>
      <c r="H58" s="101">
        <f t="shared" si="29"/>
        <v>0</v>
      </c>
      <c r="I58" s="100">
        <f>'Betriebsgrößenanalyse'!$G91/4</f>
        <v>82.21352727</v>
      </c>
      <c r="J58" s="100">
        <f>'Betriebsgrößenanalyse'!$G91/4</f>
        <v>82.21352727</v>
      </c>
      <c r="K58" s="100">
        <f>'Betriebsgrößenanalyse'!$G91/4</f>
        <v>82.21352727</v>
      </c>
      <c r="L58" s="100">
        <f>'Betriebsgrößenanalyse'!$G91/4</f>
        <v>82.21352727</v>
      </c>
      <c r="M58" s="101">
        <f t="shared" si="30"/>
        <v>328.8541091</v>
      </c>
      <c r="N58" s="100">
        <f>'Betriebsgrößenanalyse'!$G91</f>
        <v>328.8541091</v>
      </c>
      <c r="O58" s="100">
        <f>'Betriebsgrößenanalyse'!$G91</f>
        <v>328.8541091</v>
      </c>
      <c r="P58" s="100">
        <f>'Betriebsgrößenanalyse'!$G91</f>
        <v>328.8541091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6.5" customHeight="1">
      <c r="A59" s="89"/>
      <c r="B59" s="54"/>
      <c r="C59" s="103" t="str">
        <f>'Betriebsgrößenanalyse'!A92</f>
        <v>Nebenkosten des Geldverkehrs</v>
      </c>
      <c r="D59" s="100">
        <v>0.0</v>
      </c>
      <c r="E59" s="100">
        <v>0.0</v>
      </c>
      <c r="F59" s="100">
        <f>'Betriebsgrößenanalyse'!$G92/12</f>
        <v>35.78717038</v>
      </c>
      <c r="G59" s="100">
        <f>'Betriebsgrößenanalyse'!$G92/12</f>
        <v>35.78717038</v>
      </c>
      <c r="H59" s="101">
        <f t="shared" si="29"/>
        <v>71.57434076</v>
      </c>
      <c r="I59" s="100">
        <f>'Betriebsgrößenanalyse'!$G92/4</f>
        <v>107.3615111</v>
      </c>
      <c r="J59" s="100">
        <f>'Betriebsgrößenanalyse'!$G92/4</f>
        <v>107.3615111</v>
      </c>
      <c r="K59" s="100">
        <f>'Betriebsgrößenanalyse'!$G92/4</f>
        <v>107.3615111</v>
      </c>
      <c r="L59" s="100">
        <f>'Betriebsgrößenanalyse'!$G92/4</f>
        <v>107.3615111</v>
      </c>
      <c r="M59" s="101">
        <f t="shared" si="30"/>
        <v>429.4460445</v>
      </c>
      <c r="N59" s="100">
        <f>'Betriebsgrößenanalyse'!$G92</f>
        <v>429.4460445</v>
      </c>
      <c r="O59" s="100">
        <f>'Betriebsgrößenanalyse'!$G92</f>
        <v>429.4460445</v>
      </c>
      <c r="P59" s="100">
        <f>'Betriebsgrößenanalyse'!$G92</f>
        <v>429.4460445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6.5" customHeight="1">
      <c r="A60" s="89"/>
      <c r="B60" s="54"/>
      <c r="C60" s="103" t="str">
        <f>'Betriebsgrößenanalyse'!A93</f>
        <v>Fortbildungskosten</v>
      </c>
      <c r="D60" s="100">
        <v>0.0</v>
      </c>
      <c r="E60" s="100">
        <v>0.0</v>
      </c>
      <c r="F60" s="100">
        <v>0.0</v>
      </c>
      <c r="G60" s="100">
        <v>0.0</v>
      </c>
      <c r="H60" s="101">
        <f t="shared" si="29"/>
        <v>0</v>
      </c>
      <c r="I60" s="100">
        <f>'Betriebsgrößenanalyse'!$G93/4</f>
        <v>362.9736303</v>
      </c>
      <c r="J60" s="100">
        <f>'Betriebsgrößenanalyse'!$G93/4</f>
        <v>362.9736303</v>
      </c>
      <c r="K60" s="100">
        <f>'Betriebsgrößenanalyse'!$G93/4</f>
        <v>362.9736303</v>
      </c>
      <c r="L60" s="100">
        <f>'Betriebsgrößenanalyse'!$G93/4</f>
        <v>362.9736303</v>
      </c>
      <c r="M60" s="101">
        <f t="shared" si="30"/>
        <v>1451.894521</v>
      </c>
      <c r="N60" s="100">
        <f>'Betriebsgrößenanalyse'!$G93</f>
        <v>1451.894521</v>
      </c>
      <c r="O60" s="100">
        <f>'Betriebsgrößenanalyse'!$G93</f>
        <v>1451.894521</v>
      </c>
      <c r="P60" s="100">
        <f>'Betriebsgrößenanalyse'!$G93</f>
        <v>1451.894521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6.5" customHeight="1">
      <c r="A61" s="89"/>
      <c r="B61" s="54"/>
      <c r="C61" s="103" t="str">
        <f>'Betriebsgrößenanalyse'!A94</f>
        <v>Reise- und Bewirtungskosten</v>
      </c>
      <c r="D61" s="100">
        <v>0.0</v>
      </c>
      <c r="E61" s="100">
        <v>0.0</v>
      </c>
      <c r="F61" s="100">
        <v>0.0</v>
      </c>
      <c r="G61" s="100">
        <v>0.0</v>
      </c>
      <c r="H61" s="101">
        <f t="shared" si="29"/>
        <v>0</v>
      </c>
      <c r="I61" s="100">
        <f>'Betriebsgrößenanalyse'!$G94/4</f>
        <v>181.4868152</v>
      </c>
      <c r="J61" s="100">
        <f>'Betriebsgrößenanalyse'!$G94/4</f>
        <v>181.4868152</v>
      </c>
      <c r="K61" s="100">
        <f>'Betriebsgrößenanalyse'!$G94/4</f>
        <v>181.4868152</v>
      </c>
      <c r="L61" s="100">
        <f>'Betriebsgrößenanalyse'!$G94/4</f>
        <v>181.4868152</v>
      </c>
      <c r="M61" s="101">
        <f t="shared" si="30"/>
        <v>725.9472606</v>
      </c>
      <c r="N61" s="100">
        <f>'Betriebsgrößenanalyse'!$G94</f>
        <v>725.9472606</v>
      </c>
      <c r="O61" s="100">
        <f>'Betriebsgrößenanalyse'!$G94</f>
        <v>725.9472606</v>
      </c>
      <c r="P61" s="100">
        <f>'Betriebsgrößenanalyse'!$G94</f>
        <v>725.9472606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6.5" customHeight="1">
      <c r="A62" s="89"/>
      <c r="B62" s="54"/>
      <c r="C62" s="103" t="str">
        <f>'Betriebsgrößenanalyse'!A95</f>
        <v>Rechts- und Beratungskosten</v>
      </c>
      <c r="D62" s="100">
        <v>0.0</v>
      </c>
      <c r="E62" s="100">
        <v>0.0</v>
      </c>
      <c r="F62" s="100">
        <v>0.0</v>
      </c>
      <c r="G62" s="100">
        <v>0.0</v>
      </c>
      <c r="H62" s="101">
        <f t="shared" si="29"/>
        <v>0</v>
      </c>
      <c r="I62" s="100">
        <f>'Betriebsgrößenanalyse'!$G95/4</f>
        <v>250</v>
      </c>
      <c r="J62" s="100">
        <f>'Betriebsgrößenanalyse'!$G95/4</f>
        <v>250</v>
      </c>
      <c r="K62" s="100">
        <f>'Betriebsgrößenanalyse'!$G95/4</f>
        <v>250</v>
      </c>
      <c r="L62" s="100">
        <f>'Betriebsgrößenanalyse'!$G95/4</f>
        <v>250</v>
      </c>
      <c r="M62" s="101">
        <f t="shared" si="30"/>
        <v>1000</v>
      </c>
      <c r="N62" s="100">
        <f>'Betriebsgrößenanalyse'!$G95</f>
        <v>1000</v>
      </c>
      <c r="O62" s="100">
        <f>'Betriebsgrößenanalyse'!$G95</f>
        <v>1000</v>
      </c>
      <c r="P62" s="100">
        <f>'Betriebsgrößenanalyse'!$G95</f>
        <v>1000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6.5" customHeight="1">
      <c r="A63" s="89"/>
      <c r="B63" s="54"/>
      <c r="C63" s="103" t="str">
        <f>'Betriebsgrößenanalyse'!A96</f>
        <v>Abschluss- und Prüfungskosten</v>
      </c>
      <c r="D63" s="100">
        <v>0.0</v>
      </c>
      <c r="E63" s="100">
        <v>0.0</v>
      </c>
      <c r="F63" s="100">
        <v>0.0</v>
      </c>
      <c r="G63" s="100">
        <v>0.0</v>
      </c>
      <c r="H63" s="101">
        <f t="shared" si="29"/>
        <v>0</v>
      </c>
      <c r="I63" s="100">
        <f>'Betriebsgrößenanalyse'!$G96/4</f>
        <v>625</v>
      </c>
      <c r="J63" s="100">
        <f>'Betriebsgrößenanalyse'!$G96/4</f>
        <v>625</v>
      </c>
      <c r="K63" s="100">
        <f>'Betriebsgrößenanalyse'!$G96/4</f>
        <v>625</v>
      </c>
      <c r="L63" s="100">
        <f>'Betriebsgrößenanalyse'!$G96/4</f>
        <v>625</v>
      </c>
      <c r="M63" s="101">
        <f t="shared" si="30"/>
        <v>2500</v>
      </c>
      <c r="N63" s="100">
        <f>'Betriebsgrößenanalyse'!$G96</f>
        <v>2500</v>
      </c>
      <c r="O63" s="100">
        <f>'Betriebsgrößenanalyse'!$G96</f>
        <v>2500</v>
      </c>
      <c r="P63" s="100">
        <f>'Betriebsgrößenanalyse'!$G96</f>
        <v>2500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6.5" customHeight="1">
      <c r="A64" s="89"/>
      <c r="B64" s="54"/>
      <c r="C64" s="103" t="str">
        <f>'Betriebsgrößenanalyse'!A97</f>
        <v>Buchführungskosten</v>
      </c>
      <c r="D64" s="100">
        <v>0.0</v>
      </c>
      <c r="E64" s="100">
        <v>0.0</v>
      </c>
      <c r="F64" s="100">
        <f>'Betriebsgrößenanalyse'!$G97/12</f>
        <v>36.9</v>
      </c>
      <c r="G64" s="100">
        <f>'Betriebsgrößenanalyse'!$G97/12</f>
        <v>36.9</v>
      </c>
      <c r="H64" s="101">
        <f t="shared" si="29"/>
        <v>73.8</v>
      </c>
      <c r="I64" s="100">
        <f>'Betriebsgrößenanalyse'!$G97/4</f>
        <v>110.7</v>
      </c>
      <c r="J64" s="100">
        <f>'Betriebsgrößenanalyse'!$G97/4</f>
        <v>110.7</v>
      </c>
      <c r="K64" s="100">
        <f>'Betriebsgrößenanalyse'!$G97/4</f>
        <v>110.7</v>
      </c>
      <c r="L64" s="100">
        <f>'Betriebsgrößenanalyse'!$G97/4</f>
        <v>110.7</v>
      </c>
      <c r="M64" s="101">
        <f t="shared" si="30"/>
        <v>442.8</v>
      </c>
      <c r="N64" s="100">
        <f>'Betriebsgrößenanalyse'!$G97</f>
        <v>442.8</v>
      </c>
      <c r="O64" s="100">
        <f>'Betriebsgrößenanalyse'!$G97</f>
        <v>442.8</v>
      </c>
      <c r="P64" s="100">
        <f>'Betriebsgrößenanalyse'!$G97</f>
        <v>442.8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6.5" customHeight="1">
      <c r="A65" s="89"/>
      <c r="B65" s="54"/>
      <c r="C65" s="103" t="str">
        <f>'Betriebsgrößenanalyse'!A98</f>
        <v>Abraum und Abfallbeseitigungskosten</v>
      </c>
      <c r="D65" s="100">
        <v>0.0</v>
      </c>
      <c r="E65" s="100">
        <v>0.0</v>
      </c>
      <c r="F65" s="100">
        <v>0.0</v>
      </c>
      <c r="G65" s="100">
        <v>0.0</v>
      </c>
      <c r="H65" s="101">
        <f t="shared" si="29"/>
        <v>0</v>
      </c>
      <c r="I65" s="100">
        <f>'Betriebsgrößenanalyse'!$G98/4</f>
        <v>90.375</v>
      </c>
      <c r="J65" s="100">
        <f>'Betriebsgrößenanalyse'!$G98/4</f>
        <v>90.375</v>
      </c>
      <c r="K65" s="100">
        <f>'Betriebsgrößenanalyse'!$G98/4</f>
        <v>90.375</v>
      </c>
      <c r="L65" s="100">
        <f>'Betriebsgrößenanalyse'!$G98/4</f>
        <v>90.375</v>
      </c>
      <c r="M65" s="101">
        <f t="shared" si="30"/>
        <v>361.5</v>
      </c>
      <c r="N65" s="100">
        <f>'Betriebsgrößenanalyse'!$G98</f>
        <v>361.5</v>
      </c>
      <c r="O65" s="100">
        <f>'Betriebsgrößenanalyse'!$G98</f>
        <v>361.5</v>
      </c>
      <c r="P65" s="100">
        <f>'Betriebsgrößenanalyse'!$G98</f>
        <v>361.5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6.5" customHeight="1">
      <c r="A66" s="89"/>
      <c r="B66" s="54"/>
      <c r="C66" s="103"/>
      <c r="D66" s="100"/>
      <c r="E66" s="100"/>
      <c r="F66" s="100"/>
      <c r="G66" s="100"/>
      <c r="H66" s="101"/>
      <c r="I66" s="101"/>
      <c r="J66" s="101"/>
      <c r="K66" s="101"/>
      <c r="L66" s="101"/>
      <c r="M66" s="101"/>
      <c r="N66" s="101"/>
      <c r="O66" s="101"/>
      <c r="P66" s="101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6.5" customHeight="1">
      <c r="A67" s="89"/>
      <c r="B67" s="54"/>
      <c r="C67" s="103" t="str">
        <f>'Betriebsgrößenanalyse'!A100</f>
        <v>Betriebsgebäude 430qm? - später</v>
      </c>
      <c r="D67" s="100">
        <v>0.0</v>
      </c>
      <c r="E67" s="100">
        <v>0.0</v>
      </c>
      <c r="F67" s="100">
        <v>0.0</v>
      </c>
      <c r="G67" s="100">
        <v>0.0</v>
      </c>
      <c r="H67" s="101">
        <f t="shared" ref="H67:H70" si="31">SUM(D67:G67)</f>
        <v>0</v>
      </c>
      <c r="I67" s="100">
        <f>'Betriebsgrößenanalyse'!$G100/4</f>
        <v>0</v>
      </c>
      <c r="J67" s="100">
        <f>'Betriebsgrößenanalyse'!$G100/4</f>
        <v>0</v>
      </c>
      <c r="K67" s="100">
        <f>'Betriebsgrößenanalyse'!$G100/4</f>
        <v>0</v>
      </c>
      <c r="L67" s="100">
        <f>'Betriebsgrößenanalyse'!$G100/4</f>
        <v>0</v>
      </c>
      <c r="M67" s="101">
        <f t="shared" ref="M67:M70" si="32">SUM(I67:L67)</f>
        <v>0</v>
      </c>
      <c r="N67" s="100">
        <f>'Betriebsgrößenanalyse'!$G100</f>
        <v>0</v>
      </c>
      <c r="O67" s="100">
        <f>'Betriebsgrößenanalyse'!$G100</f>
        <v>0</v>
      </c>
      <c r="P67" s="100">
        <f>'Betriebsgrößenanalyse'!$G100</f>
        <v>0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6.5" customHeight="1">
      <c r="A68" s="89"/>
      <c r="B68" s="54"/>
      <c r="C68" s="103" t="str">
        <f>'Betriebsgrößenanalyse'!A101</f>
        <v>Abpackraum [EUR/Monat]</v>
      </c>
      <c r="D68" s="100">
        <v>0.0</v>
      </c>
      <c r="E68" s="100">
        <v>0.0</v>
      </c>
      <c r="F68" s="100">
        <v>0.0</v>
      </c>
      <c r="G68" s="100">
        <v>0.0</v>
      </c>
      <c r="H68" s="101">
        <f t="shared" si="31"/>
        <v>0</v>
      </c>
      <c r="I68" s="100">
        <f>'Betriebsgrößenanalyse'!$G101/4</f>
        <v>315</v>
      </c>
      <c r="J68" s="100">
        <f>'Betriebsgrößenanalyse'!$G101/4</f>
        <v>315</v>
      </c>
      <c r="K68" s="100">
        <f>'Betriebsgrößenanalyse'!$G101/4</f>
        <v>315</v>
      </c>
      <c r="L68" s="100">
        <f>'Betriebsgrößenanalyse'!$G101/4</f>
        <v>315</v>
      </c>
      <c r="M68" s="101">
        <f t="shared" si="32"/>
        <v>1260</v>
      </c>
      <c r="N68" s="100">
        <f>'Betriebsgrößenanalyse'!$G101</f>
        <v>1260</v>
      </c>
      <c r="O68" s="100">
        <f>'Betriebsgrößenanalyse'!$G101</f>
        <v>1260</v>
      </c>
      <c r="P68" s="100">
        <f>'Betriebsgrößenanalyse'!$G101</f>
        <v>1260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6.5" customHeight="1">
      <c r="A69" s="89"/>
      <c r="B69" s="54"/>
      <c r="C69" s="103" t="str">
        <f>'Betriebsgrößenanalyse'!A102</f>
        <v>Sanitär + Umkleideraum: 46 qm [EUR/Monat]</v>
      </c>
      <c r="D69" s="100">
        <v>0.0</v>
      </c>
      <c r="E69" s="100">
        <v>0.0</v>
      </c>
      <c r="F69" s="100">
        <v>0.0</v>
      </c>
      <c r="G69" s="100">
        <v>0.0</v>
      </c>
      <c r="H69" s="101">
        <f t="shared" si="31"/>
        <v>0</v>
      </c>
      <c r="I69" s="100">
        <f>'Betriebsgrößenanalyse'!$G102/4</f>
        <v>0</v>
      </c>
      <c r="J69" s="100">
        <f>'Betriebsgrößenanalyse'!$G102/4</f>
        <v>0</v>
      </c>
      <c r="K69" s="100">
        <f>'Betriebsgrößenanalyse'!$G102/4</f>
        <v>0</v>
      </c>
      <c r="L69" s="100">
        <f>'Betriebsgrößenanalyse'!$G102/4</f>
        <v>0</v>
      </c>
      <c r="M69" s="101">
        <f t="shared" si="32"/>
        <v>0</v>
      </c>
      <c r="N69" s="100">
        <f>'Betriebsgrößenanalyse'!$G102</f>
        <v>0</v>
      </c>
      <c r="O69" s="100">
        <f>'Betriebsgrößenanalyse'!$G102</f>
        <v>0</v>
      </c>
      <c r="P69" s="100">
        <f>'Betriebsgrößenanalyse'!$G102</f>
        <v>0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6.5" customHeight="1">
      <c r="A70" s="89"/>
      <c r="B70" s="54"/>
      <c r="C70" s="103" t="str">
        <f>'Betriebsgrößenanalyse'!A103</f>
        <v>Wohnung [EUR/Monat]</v>
      </c>
      <c r="D70" s="100">
        <v>0.0</v>
      </c>
      <c r="E70" s="100">
        <v>0.0</v>
      </c>
      <c r="F70" s="100">
        <v>0.0</v>
      </c>
      <c r="G70" s="100">
        <v>0.0</v>
      </c>
      <c r="H70" s="101">
        <f t="shared" si="31"/>
        <v>0</v>
      </c>
      <c r="I70" s="100">
        <v>0.0</v>
      </c>
      <c r="J70" s="100">
        <f>'Betriebsgrößenanalyse'!$G103/4</f>
        <v>0</v>
      </c>
      <c r="K70" s="100">
        <f>'Betriebsgrößenanalyse'!$G103/4</f>
        <v>0</v>
      </c>
      <c r="L70" s="100">
        <f>'Betriebsgrößenanalyse'!$G103/4</f>
        <v>0</v>
      </c>
      <c r="M70" s="101">
        <f t="shared" si="32"/>
        <v>0</v>
      </c>
      <c r="N70" s="100">
        <f>'Betriebsgrößenanalyse'!$G103</f>
        <v>0</v>
      </c>
      <c r="O70" s="100">
        <f>'Betriebsgrößenanalyse'!$G103</f>
        <v>0</v>
      </c>
      <c r="P70" s="100">
        <f>'Betriebsgrößenanalyse'!$G103</f>
        <v>0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6.5" customHeight="1">
      <c r="A71" s="89"/>
      <c r="B71" s="54"/>
      <c r="C71" s="103"/>
      <c r="D71" s="100"/>
      <c r="E71" s="100"/>
      <c r="F71" s="100"/>
      <c r="G71" s="100"/>
      <c r="H71" s="101"/>
      <c r="I71" s="100"/>
      <c r="J71" s="100"/>
      <c r="K71" s="100"/>
      <c r="L71" s="100"/>
      <c r="M71" s="101"/>
      <c r="N71" s="100" t="str">
        <f>'Betriebsgrößenanalyse'!$G104</f>
        <v/>
      </c>
      <c r="O71" s="100"/>
      <c r="P71" s="100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6.5" hidden="1" customHeight="1">
      <c r="A72" s="89"/>
      <c r="B72" s="54"/>
      <c r="C72" s="103" t="str">
        <f>'Betriebsgrößenanalyse'!A105</f>
        <v>Abgaben für betrieblich genutzten Grundbesitz (Grundsteuer A)</v>
      </c>
      <c r="D72" s="100">
        <v>0.0</v>
      </c>
      <c r="E72" s="100">
        <v>0.0</v>
      </c>
      <c r="F72" s="100">
        <v>0.0</v>
      </c>
      <c r="G72" s="100">
        <v>0.0</v>
      </c>
      <c r="H72" s="101">
        <f>SUM(D72:G72)</f>
        <v>0</v>
      </c>
      <c r="I72" s="100">
        <f>'Betriebsgrößenanalyse'!$G105/4</f>
        <v>0</v>
      </c>
      <c r="J72" s="100">
        <f>'Betriebsgrößenanalyse'!$G105/4</f>
        <v>0</v>
      </c>
      <c r="K72" s="100">
        <f>'Betriebsgrößenanalyse'!$G105/4</f>
        <v>0</v>
      </c>
      <c r="L72" s="100">
        <f>'Betriebsgrößenanalyse'!$G105/4</f>
        <v>0</v>
      </c>
      <c r="M72" s="101">
        <f>SUM(I72:L72)</f>
        <v>0</v>
      </c>
      <c r="N72" s="100">
        <f>'Betriebsgrößenanalyse'!$G105</f>
        <v>0</v>
      </c>
      <c r="O72" s="100">
        <f>'Betriebsgrößenanalyse'!$G105</f>
        <v>0</v>
      </c>
      <c r="P72" s="100">
        <f>'Betriebsgrößenanalyse'!$G105</f>
        <v>0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6.5" hidden="1" customHeight="1">
      <c r="A73" s="89"/>
      <c r="B73" s="54"/>
      <c r="C73" s="54" t="str">
        <f>'Betriebsgrößenanalyse'!A106</f>
        <v/>
      </c>
      <c r="D73" s="100"/>
      <c r="E73" s="100"/>
      <c r="F73" s="100"/>
      <c r="G73" s="100"/>
      <c r="H73" s="101"/>
      <c r="I73" s="100"/>
      <c r="J73" s="100"/>
      <c r="K73" s="100"/>
      <c r="L73" s="100"/>
      <c r="M73" s="101"/>
      <c r="N73" s="100"/>
      <c r="O73" s="100"/>
      <c r="P73" s="100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6.5" customHeight="1">
      <c r="A74" s="93" t="s">
        <v>237</v>
      </c>
      <c r="B74" s="93"/>
      <c r="C74" s="93"/>
      <c r="D74" s="94">
        <f t="shared" ref="D74:P74" si="33">D5-D17</f>
        <v>0</v>
      </c>
      <c r="E74" s="94">
        <f t="shared" si="33"/>
        <v>-595.5833333</v>
      </c>
      <c r="F74" s="94">
        <f t="shared" si="33"/>
        <v>-1128.64063</v>
      </c>
      <c r="G74" s="94">
        <f t="shared" si="33"/>
        <v>-87.27050371</v>
      </c>
      <c r="H74" s="94">
        <f t="shared" si="33"/>
        <v>-1811.494467</v>
      </c>
      <c r="I74" s="94" t="str">
        <f t="shared" si="33"/>
        <v>#REF!</v>
      </c>
      <c r="J74" s="94" t="str">
        <f t="shared" si="33"/>
        <v>#REF!</v>
      </c>
      <c r="K74" s="94" t="str">
        <f t="shared" si="33"/>
        <v>#REF!</v>
      </c>
      <c r="L74" s="94" t="str">
        <f t="shared" si="33"/>
        <v>#REF!</v>
      </c>
      <c r="M74" s="94" t="str">
        <f t="shared" si="33"/>
        <v>#REF!</v>
      </c>
      <c r="N74" s="94" t="str">
        <f t="shared" si="33"/>
        <v>#REF!</v>
      </c>
      <c r="O74" s="95" t="str">
        <f t="shared" si="33"/>
        <v>#REF!</v>
      </c>
      <c r="P74" s="95" t="str">
        <f t="shared" si="33"/>
        <v>#REF!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6.5" customHeight="1">
      <c r="A75" s="89"/>
      <c r="B75" s="89"/>
      <c r="C75" s="89" t="s">
        <v>238</v>
      </c>
      <c r="D75" s="96">
        <v>0.0</v>
      </c>
      <c r="E75" s="96">
        <v>0.0</v>
      </c>
      <c r="F75" s="96">
        <v>0.0</v>
      </c>
      <c r="G75" s="96">
        <v>0.0</v>
      </c>
      <c r="H75" s="96">
        <v>0.0</v>
      </c>
      <c r="I75" s="96">
        <v>0.0</v>
      </c>
      <c r="J75" s="96">
        <v>0.0</v>
      </c>
      <c r="K75" s="96">
        <v>0.0</v>
      </c>
      <c r="L75" s="96">
        <v>0.0</v>
      </c>
      <c r="M75" s="96">
        <v>0.0</v>
      </c>
      <c r="N75" s="96">
        <v>0.0</v>
      </c>
      <c r="O75" s="97">
        <v>0.0</v>
      </c>
      <c r="P75" s="97">
        <v>0.0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6.5" customHeight="1">
      <c r="A76" s="93" t="s">
        <v>239</v>
      </c>
      <c r="B76" s="93"/>
      <c r="C76" s="93"/>
      <c r="D76" s="94">
        <f t="shared" ref="D76:P76" si="34">D74-D75</f>
        <v>0</v>
      </c>
      <c r="E76" s="94">
        <f t="shared" si="34"/>
        <v>-595.5833333</v>
      </c>
      <c r="F76" s="94">
        <f t="shared" si="34"/>
        <v>-1128.64063</v>
      </c>
      <c r="G76" s="94">
        <f t="shared" si="34"/>
        <v>-87.27050371</v>
      </c>
      <c r="H76" s="94">
        <f t="shared" si="34"/>
        <v>-1811.494467</v>
      </c>
      <c r="I76" s="94" t="str">
        <f t="shared" si="34"/>
        <v>#REF!</v>
      </c>
      <c r="J76" s="94" t="str">
        <f t="shared" si="34"/>
        <v>#REF!</v>
      </c>
      <c r="K76" s="94" t="str">
        <f t="shared" si="34"/>
        <v>#REF!</v>
      </c>
      <c r="L76" s="94" t="str">
        <f t="shared" si="34"/>
        <v>#REF!</v>
      </c>
      <c r="M76" s="94" t="str">
        <f t="shared" si="34"/>
        <v>#REF!</v>
      </c>
      <c r="N76" s="94" t="str">
        <f t="shared" si="34"/>
        <v>#REF!</v>
      </c>
      <c r="O76" s="95" t="str">
        <f t="shared" si="34"/>
        <v>#REF!</v>
      </c>
      <c r="P76" s="95" t="str">
        <f t="shared" si="34"/>
        <v>#REF!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6.5" customHeight="1">
      <c r="A77" s="89"/>
      <c r="B77" s="89"/>
      <c r="C77" s="89" t="s">
        <v>240</v>
      </c>
      <c r="D77" s="96">
        <f t="shared" ref="D77:P77" si="35">D76*0.15</f>
        <v>0</v>
      </c>
      <c r="E77" s="96">
        <f t="shared" si="35"/>
        <v>-89.3375</v>
      </c>
      <c r="F77" s="96">
        <f t="shared" si="35"/>
        <v>-169.2960945</v>
      </c>
      <c r="G77" s="96">
        <f t="shared" si="35"/>
        <v>-13.09057556</v>
      </c>
      <c r="H77" s="96">
        <f t="shared" si="35"/>
        <v>-271.72417</v>
      </c>
      <c r="I77" s="96" t="str">
        <f t="shared" si="35"/>
        <v>#REF!</v>
      </c>
      <c r="J77" s="96" t="str">
        <f t="shared" si="35"/>
        <v>#REF!</v>
      </c>
      <c r="K77" s="96" t="str">
        <f t="shared" si="35"/>
        <v>#REF!</v>
      </c>
      <c r="L77" s="96" t="str">
        <f t="shared" si="35"/>
        <v>#REF!</v>
      </c>
      <c r="M77" s="96" t="str">
        <f t="shared" si="35"/>
        <v>#REF!</v>
      </c>
      <c r="N77" s="96" t="str">
        <f t="shared" si="35"/>
        <v>#REF!</v>
      </c>
      <c r="O77" s="97" t="str">
        <f t="shared" si="35"/>
        <v>#REF!</v>
      </c>
      <c r="P77" s="97" t="str">
        <f t="shared" si="35"/>
        <v>#REF!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6.5" customHeight="1">
      <c r="A78" s="89"/>
      <c r="B78" s="89"/>
      <c r="C78" s="89" t="s">
        <v>241</v>
      </c>
      <c r="D78" s="96">
        <f t="shared" ref="D78:P78" si="36">D76*0.055</f>
        <v>0</v>
      </c>
      <c r="E78" s="96">
        <f t="shared" si="36"/>
        <v>-32.75708333</v>
      </c>
      <c r="F78" s="96">
        <f t="shared" si="36"/>
        <v>-62.07523464</v>
      </c>
      <c r="G78" s="96">
        <f t="shared" si="36"/>
        <v>-4.799877704</v>
      </c>
      <c r="H78" s="96">
        <f t="shared" si="36"/>
        <v>-99.63219567</v>
      </c>
      <c r="I78" s="96" t="str">
        <f t="shared" si="36"/>
        <v>#REF!</v>
      </c>
      <c r="J78" s="96" t="str">
        <f t="shared" si="36"/>
        <v>#REF!</v>
      </c>
      <c r="K78" s="96" t="str">
        <f t="shared" si="36"/>
        <v>#REF!</v>
      </c>
      <c r="L78" s="96" t="str">
        <f t="shared" si="36"/>
        <v>#REF!</v>
      </c>
      <c r="M78" s="96" t="str">
        <f t="shared" si="36"/>
        <v>#REF!</v>
      </c>
      <c r="N78" s="96" t="str">
        <f t="shared" si="36"/>
        <v>#REF!</v>
      </c>
      <c r="O78" s="97" t="str">
        <f t="shared" si="36"/>
        <v>#REF!</v>
      </c>
      <c r="P78" s="97" t="str">
        <f t="shared" si="36"/>
        <v>#REF!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6.5" customHeight="1">
      <c r="A79" s="93" t="s">
        <v>276</v>
      </c>
      <c r="B79" s="93"/>
      <c r="C79" s="93"/>
      <c r="D79" s="94">
        <f t="shared" ref="D79:P79" si="37">D76-D77-D78</f>
        <v>0</v>
      </c>
      <c r="E79" s="94">
        <f t="shared" si="37"/>
        <v>-473.48875</v>
      </c>
      <c r="F79" s="94">
        <f t="shared" si="37"/>
        <v>-897.2693007</v>
      </c>
      <c r="G79" s="94">
        <f t="shared" si="37"/>
        <v>-69.38005045</v>
      </c>
      <c r="H79" s="94">
        <f t="shared" si="37"/>
        <v>-1440.138101</v>
      </c>
      <c r="I79" s="94" t="str">
        <f t="shared" si="37"/>
        <v>#REF!</v>
      </c>
      <c r="J79" s="94" t="str">
        <f t="shared" si="37"/>
        <v>#REF!</v>
      </c>
      <c r="K79" s="94" t="str">
        <f t="shared" si="37"/>
        <v>#REF!</v>
      </c>
      <c r="L79" s="94" t="str">
        <f t="shared" si="37"/>
        <v>#REF!</v>
      </c>
      <c r="M79" s="94" t="str">
        <f t="shared" si="37"/>
        <v>#REF!</v>
      </c>
      <c r="N79" s="94" t="str">
        <f t="shared" si="37"/>
        <v>#REF!</v>
      </c>
      <c r="O79" s="95" t="str">
        <f t="shared" si="37"/>
        <v>#REF!</v>
      </c>
      <c r="P79" s="95" t="str">
        <f t="shared" si="37"/>
        <v>#REF!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6.5" customHeight="1">
      <c r="A80" s="89"/>
      <c r="B80" s="89"/>
      <c r="C80" s="89"/>
      <c r="D80" s="100"/>
      <c r="E80" s="100"/>
      <c r="F80" s="100"/>
      <c r="G80" s="100"/>
      <c r="H80" s="101"/>
      <c r="I80" s="100"/>
      <c r="J80" s="100"/>
      <c r="K80" s="100"/>
      <c r="L80" s="100"/>
      <c r="M80" s="101"/>
      <c r="N80" s="100"/>
      <c r="O80" s="100"/>
      <c r="P80" s="100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6.5" customHeight="1">
      <c r="A81" s="89"/>
      <c r="B81" s="89"/>
      <c r="C81" s="89"/>
      <c r="D81" s="100"/>
      <c r="E81" s="100"/>
      <c r="F81" s="100"/>
      <c r="G81" s="100"/>
      <c r="H81" s="101"/>
      <c r="I81" s="100"/>
      <c r="J81" s="100"/>
      <c r="K81" s="100"/>
      <c r="L81" s="100"/>
      <c r="M81" s="101"/>
      <c r="N81" s="100"/>
      <c r="O81" s="100"/>
      <c r="P81" s="100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6.5" customHeight="1">
      <c r="A82" s="89"/>
      <c r="B82" s="89"/>
      <c r="C82" s="89"/>
      <c r="D82" s="100"/>
      <c r="E82" s="100"/>
      <c r="F82" s="100"/>
      <c r="G82" s="100"/>
      <c r="H82" s="101"/>
      <c r="I82" s="100"/>
      <c r="J82" s="100"/>
      <c r="K82" s="100"/>
      <c r="L82" s="100"/>
      <c r="M82" s="101"/>
      <c r="N82" s="100"/>
      <c r="O82" s="100"/>
      <c r="P82" s="100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6.5" customHeight="1">
      <c r="A83" s="89"/>
      <c r="B83" s="89"/>
      <c r="C83" s="89"/>
      <c r="D83" s="100"/>
      <c r="E83" s="100"/>
      <c r="F83" s="100"/>
      <c r="G83" s="100"/>
      <c r="H83" s="101"/>
      <c r="I83" s="100"/>
      <c r="J83" s="100"/>
      <c r="K83" s="100"/>
      <c r="L83" s="100"/>
      <c r="M83" s="101"/>
      <c r="N83" s="100"/>
      <c r="O83" s="100"/>
      <c r="P83" s="100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6.5" customHeight="1">
      <c r="A84" s="89"/>
      <c r="B84" s="89"/>
      <c r="C84" s="89"/>
      <c r="D84" s="100"/>
      <c r="E84" s="100"/>
      <c r="F84" s="100"/>
      <c r="G84" s="100"/>
      <c r="H84" s="101"/>
      <c r="I84" s="100"/>
      <c r="J84" s="100"/>
      <c r="K84" s="100"/>
      <c r="L84" s="100"/>
      <c r="M84" s="101"/>
      <c r="N84" s="100"/>
      <c r="O84" s="100"/>
      <c r="P84" s="100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6.5" customHeight="1">
      <c r="A85" s="89"/>
      <c r="B85" s="89"/>
      <c r="C85" s="89"/>
      <c r="D85" s="100"/>
      <c r="E85" s="100"/>
      <c r="F85" s="100"/>
      <c r="G85" s="100"/>
      <c r="H85" s="101"/>
      <c r="I85" s="100"/>
      <c r="J85" s="100"/>
      <c r="K85" s="100"/>
      <c r="L85" s="100"/>
      <c r="M85" s="101"/>
      <c r="N85" s="100"/>
      <c r="O85" s="100"/>
      <c r="P85" s="100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6.5" customHeight="1">
      <c r="A86" s="89"/>
      <c r="B86" s="89"/>
      <c r="C86" s="89"/>
      <c r="D86" s="100"/>
      <c r="E86" s="100"/>
      <c r="F86" s="100"/>
      <c r="G86" s="100"/>
      <c r="H86" s="101"/>
      <c r="I86" s="100"/>
      <c r="J86" s="100"/>
      <c r="K86" s="100"/>
      <c r="L86" s="100"/>
      <c r="M86" s="101"/>
      <c r="N86" s="100"/>
      <c r="O86" s="100"/>
      <c r="P86" s="100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6.5" customHeight="1">
      <c r="A87" s="89"/>
      <c r="B87" s="89"/>
      <c r="C87" s="89"/>
      <c r="D87" s="100"/>
      <c r="E87" s="100"/>
      <c r="F87" s="100"/>
      <c r="G87" s="100"/>
      <c r="H87" s="101"/>
      <c r="I87" s="100"/>
      <c r="J87" s="100"/>
      <c r="K87" s="100"/>
      <c r="L87" s="100"/>
      <c r="M87" s="101"/>
      <c r="N87" s="100"/>
      <c r="O87" s="100"/>
      <c r="P87" s="100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6.5" customHeight="1">
      <c r="A88" s="89"/>
      <c r="B88" s="89"/>
      <c r="C88" s="89"/>
      <c r="D88" s="100"/>
      <c r="E88" s="100"/>
      <c r="F88" s="100"/>
      <c r="G88" s="100"/>
      <c r="H88" s="101"/>
      <c r="I88" s="100"/>
      <c r="J88" s="100"/>
      <c r="K88" s="100"/>
      <c r="L88" s="100"/>
      <c r="M88" s="101"/>
      <c r="N88" s="100"/>
      <c r="O88" s="100"/>
      <c r="P88" s="100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6.5" customHeight="1">
      <c r="A89" s="89"/>
      <c r="B89" s="89"/>
      <c r="C89" s="89"/>
      <c r="D89" s="100"/>
      <c r="E89" s="100"/>
      <c r="F89" s="100"/>
      <c r="G89" s="100"/>
      <c r="H89" s="101"/>
      <c r="I89" s="100"/>
      <c r="J89" s="100"/>
      <c r="K89" s="100"/>
      <c r="L89" s="100"/>
      <c r="M89" s="101"/>
      <c r="N89" s="100"/>
      <c r="O89" s="100"/>
      <c r="P89" s="100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6.5" customHeight="1">
      <c r="A90" s="89"/>
      <c r="B90" s="89"/>
      <c r="C90" s="89"/>
      <c r="D90" s="100"/>
      <c r="E90" s="100"/>
      <c r="F90" s="100"/>
      <c r="G90" s="100"/>
      <c r="H90" s="101"/>
      <c r="I90" s="100"/>
      <c r="J90" s="100"/>
      <c r="K90" s="100"/>
      <c r="L90" s="100"/>
      <c r="M90" s="101"/>
      <c r="N90" s="100"/>
      <c r="O90" s="100"/>
      <c r="P90" s="100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6.5" customHeight="1">
      <c r="A91" s="89"/>
      <c r="B91" s="89"/>
      <c r="C91" s="89"/>
      <c r="D91" s="100"/>
      <c r="E91" s="100"/>
      <c r="F91" s="100"/>
      <c r="G91" s="100"/>
      <c r="H91" s="101"/>
      <c r="I91" s="100"/>
      <c r="J91" s="100"/>
      <c r="K91" s="100"/>
      <c r="L91" s="100"/>
      <c r="M91" s="101"/>
      <c r="N91" s="100"/>
      <c r="O91" s="100"/>
      <c r="P91" s="100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6.5" customHeight="1">
      <c r="A92" s="89"/>
      <c r="B92" s="89"/>
      <c r="C92" s="89"/>
      <c r="D92" s="89"/>
      <c r="E92" s="89"/>
      <c r="F92" s="89"/>
      <c r="G92" s="89"/>
      <c r="H92" s="93"/>
      <c r="I92" s="89"/>
      <c r="J92" s="89"/>
      <c r="K92" s="89"/>
      <c r="L92" s="89"/>
      <c r="M92" s="93"/>
      <c r="N92" s="89"/>
      <c r="O92" s="89"/>
      <c r="P92" s="89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6.5" customHeight="1">
      <c r="A93" s="89"/>
      <c r="B93" s="89"/>
      <c r="C93" s="89"/>
      <c r="D93" s="89"/>
      <c r="E93" s="89"/>
      <c r="F93" s="89"/>
      <c r="G93" s="89"/>
      <c r="H93" s="93"/>
      <c r="I93" s="89"/>
      <c r="J93" s="89"/>
      <c r="K93" s="89"/>
      <c r="L93" s="89"/>
      <c r="M93" s="93"/>
      <c r="N93" s="89"/>
      <c r="O93" s="89"/>
      <c r="P93" s="89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6.5" customHeight="1">
      <c r="A94" s="89"/>
      <c r="B94" s="89"/>
      <c r="C94" s="89"/>
      <c r="D94" s="89"/>
      <c r="E94" s="89"/>
      <c r="F94" s="89"/>
      <c r="G94" s="89"/>
      <c r="H94" s="93"/>
      <c r="I94" s="89"/>
      <c r="J94" s="89"/>
      <c r="K94" s="89"/>
      <c r="L94" s="89"/>
      <c r="M94" s="93"/>
      <c r="N94" s="89"/>
      <c r="O94" s="89"/>
      <c r="P94" s="89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6.5" customHeight="1">
      <c r="A95" s="89"/>
      <c r="B95" s="89"/>
      <c r="C95" s="89"/>
      <c r="D95" s="89"/>
      <c r="E95" s="89"/>
      <c r="F95" s="89"/>
      <c r="G95" s="89"/>
      <c r="H95" s="93"/>
      <c r="I95" s="89"/>
      <c r="J95" s="89"/>
      <c r="K95" s="89"/>
      <c r="L95" s="89"/>
      <c r="M95" s="93"/>
      <c r="N95" s="89"/>
      <c r="O95" s="89"/>
      <c r="P95" s="89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6.5" customHeight="1">
      <c r="A96" s="89"/>
      <c r="B96" s="89"/>
      <c r="C96" s="89"/>
      <c r="D96" s="89"/>
      <c r="E96" s="89"/>
      <c r="F96" s="89"/>
      <c r="G96" s="89"/>
      <c r="H96" s="93"/>
      <c r="I96" s="89"/>
      <c r="J96" s="89"/>
      <c r="K96" s="89"/>
      <c r="L96" s="89"/>
      <c r="M96" s="93"/>
      <c r="N96" s="89"/>
      <c r="O96" s="89"/>
      <c r="P96" s="89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6.5" customHeight="1">
      <c r="A97" s="89"/>
      <c r="B97" s="89"/>
      <c r="C97" s="89"/>
      <c r="D97" s="89"/>
      <c r="E97" s="89"/>
      <c r="F97" s="89"/>
      <c r="G97" s="89"/>
      <c r="H97" s="93"/>
      <c r="I97" s="89"/>
      <c r="J97" s="89"/>
      <c r="K97" s="89"/>
      <c r="L97" s="89"/>
      <c r="M97" s="93"/>
      <c r="N97" s="89"/>
      <c r="O97" s="89"/>
      <c r="P97" s="89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6.5" customHeight="1">
      <c r="A98" s="89"/>
      <c r="B98" s="89"/>
      <c r="C98" s="89"/>
      <c r="D98" s="89"/>
      <c r="E98" s="89"/>
      <c r="F98" s="89"/>
      <c r="G98" s="89"/>
      <c r="H98" s="93"/>
      <c r="I98" s="89"/>
      <c r="J98" s="89"/>
      <c r="K98" s="89"/>
      <c r="L98" s="89"/>
      <c r="M98" s="93"/>
      <c r="N98" s="89"/>
      <c r="O98" s="89"/>
      <c r="P98" s="89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6.5" customHeight="1">
      <c r="A99" s="89"/>
      <c r="B99" s="89"/>
      <c r="C99" s="89"/>
      <c r="D99" s="89"/>
      <c r="E99" s="89"/>
      <c r="F99" s="89"/>
      <c r="G99" s="89"/>
      <c r="H99" s="93"/>
      <c r="I99" s="89"/>
      <c r="J99" s="89"/>
      <c r="K99" s="89"/>
      <c r="L99" s="89"/>
      <c r="M99" s="93"/>
      <c r="N99" s="89"/>
      <c r="O99" s="89"/>
      <c r="P99" s="89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6.5" customHeight="1">
      <c r="A100" s="89"/>
      <c r="B100" s="89"/>
      <c r="C100" s="89"/>
      <c r="D100" s="89"/>
      <c r="E100" s="89"/>
      <c r="F100" s="89"/>
      <c r="G100" s="89"/>
      <c r="H100" s="93"/>
      <c r="I100" s="89"/>
      <c r="J100" s="89"/>
      <c r="K100" s="89"/>
      <c r="L100" s="89"/>
      <c r="M100" s="93"/>
      <c r="N100" s="89"/>
      <c r="O100" s="89"/>
      <c r="P100" s="89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6.5" customHeight="1">
      <c r="A101" s="89"/>
      <c r="B101" s="89"/>
      <c r="C101" s="89"/>
      <c r="D101" s="89"/>
      <c r="E101" s="89"/>
      <c r="F101" s="89"/>
      <c r="G101" s="89"/>
      <c r="H101" s="93"/>
      <c r="I101" s="89"/>
      <c r="J101" s="89"/>
      <c r="K101" s="89"/>
      <c r="L101" s="89"/>
      <c r="M101" s="93"/>
      <c r="N101" s="89"/>
      <c r="O101" s="89"/>
      <c r="P101" s="89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6.5" customHeight="1">
      <c r="A102" s="89"/>
      <c r="B102" s="89"/>
      <c r="C102" s="89"/>
      <c r="D102" s="89"/>
      <c r="E102" s="89"/>
      <c r="F102" s="89"/>
      <c r="G102" s="89"/>
      <c r="H102" s="93"/>
      <c r="I102" s="89"/>
      <c r="J102" s="89"/>
      <c r="K102" s="89"/>
      <c r="L102" s="89"/>
      <c r="M102" s="93"/>
      <c r="N102" s="89"/>
      <c r="O102" s="89"/>
      <c r="P102" s="89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6.5" customHeight="1">
      <c r="A103" s="89"/>
      <c r="B103" s="89"/>
      <c r="C103" s="89"/>
      <c r="D103" s="89"/>
      <c r="E103" s="89"/>
      <c r="F103" s="89"/>
      <c r="G103" s="89"/>
      <c r="H103" s="93"/>
      <c r="I103" s="89"/>
      <c r="J103" s="89"/>
      <c r="K103" s="89"/>
      <c r="L103" s="89"/>
      <c r="M103" s="93"/>
      <c r="N103" s="89"/>
      <c r="O103" s="89"/>
      <c r="P103" s="89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6.5" customHeight="1">
      <c r="A104" s="89"/>
      <c r="B104" s="89"/>
      <c r="C104" s="89"/>
      <c r="D104" s="89"/>
      <c r="E104" s="89"/>
      <c r="F104" s="89"/>
      <c r="G104" s="89"/>
      <c r="H104" s="93"/>
      <c r="I104" s="89"/>
      <c r="J104" s="89"/>
      <c r="K104" s="89"/>
      <c r="L104" s="89"/>
      <c r="M104" s="93"/>
      <c r="N104" s="89"/>
      <c r="O104" s="89"/>
      <c r="P104" s="89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6.5" customHeight="1">
      <c r="A105" s="89"/>
      <c r="B105" s="89"/>
      <c r="C105" s="89"/>
      <c r="D105" s="89"/>
      <c r="E105" s="89"/>
      <c r="F105" s="89"/>
      <c r="G105" s="89"/>
      <c r="H105" s="93"/>
      <c r="I105" s="89"/>
      <c r="J105" s="89"/>
      <c r="K105" s="89"/>
      <c r="L105" s="89"/>
      <c r="M105" s="93"/>
      <c r="N105" s="89"/>
      <c r="O105" s="89"/>
      <c r="P105" s="89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6.5" customHeight="1">
      <c r="A106" s="89"/>
      <c r="B106" s="89"/>
      <c r="C106" s="89"/>
      <c r="D106" s="89"/>
      <c r="E106" s="89"/>
      <c r="F106" s="89"/>
      <c r="G106" s="89"/>
      <c r="H106" s="93"/>
      <c r="I106" s="89"/>
      <c r="J106" s="89"/>
      <c r="K106" s="89"/>
      <c r="L106" s="89"/>
      <c r="M106" s="93"/>
      <c r="N106" s="89"/>
      <c r="O106" s="89"/>
      <c r="P106" s="89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6.5" customHeight="1">
      <c r="A107" s="89"/>
      <c r="B107" s="89"/>
      <c r="C107" s="89"/>
      <c r="D107" s="89"/>
      <c r="E107" s="89"/>
      <c r="F107" s="89"/>
      <c r="G107" s="89"/>
      <c r="H107" s="93"/>
      <c r="I107" s="89"/>
      <c r="J107" s="89"/>
      <c r="K107" s="89"/>
      <c r="L107" s="89"/>
      <c r="M107" s="93"/>
      <c r="N107" s="89"/>
      <c r="O107" s="89"/>
      <c r="P107" s="89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6.5" customHeight="1">
      <c r="A108" s="89"/>
      <c r="B108" s="89"/>
      <c r="C108" s="89"/>
      <c r="D108" s="89"/>
      <c r="E108" s="89"/>
      <c r="F108" s="89"/>
      <c r="G108" s="89"/>
      <c r="H108" s="93"/>
      <c r="I108" s="89"/>
      <c r="J108" s="89"/>
      <c r="K108" s="89"/>
      <c r="L108" s="89"/>
      <c r="M108" s="93"/>
      <c r="N108" s="89"/>
      <c r="O108" s="89"/>
      <c r="P108" s="89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6.5" customHeight="1">
      <c r="A109" s="89"/>
      <c r="B109" s="89"/>
      <c r="C109" s="89"/>
      <c r="D109" s="89"/>
      <c r="E109" s="89"/>
      <c r="F109" s="89"/>
      <c r="G109" s="89"/>
      <c r="H109" s="93"/>
      <c r="I109" s="89"/>
      <c r="J109" s="89"/>
      <c r="K109" s="89"/>
      <c r="L109" s="89"/>
      <c r="M109" s="93"/>
      <c r="N109" s="89"/>
      <c r="O109" s="89"/>
      <c r="P109" s="89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6.5" customHeight="1">
      <c r="A110" s="89"/>
      <c r="B110" s="89"/>
      <c r="C110" s="89"/>
      <c r="D110" s="89"/>
      <c r="E110" s="89"/>
      <c r="F110" s="89"/>
      <c r="G110" s="89"/>
      <c r="H110" s="93"/>
      <c r="I110" s="89"/>
      <c r="J110" s="89"/>
      <c r="K110" s="89"/>
      <c r="L110" s="89"/>
      <c r="M110" s="93"/>
      <c r="N110" s="89"/>
      <c r="O110" s="89"/>
      <c r="P110" s="89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6.5" customHeight="1">
      <c r="A111" s="89"/>
      <c r="B111" s="89"/>
      <c r="C111" s="89"/>
      <c r="D111" s="89"/>
      <c r="E111" s="89"/>
      <c r="F111" s="89"/>
      <c r="G111" s="89"/>
      <c r="H111" s="93"/>
      <c r="I111" s="89"/>
      <c r="J111" s="89"/>
      <c r="K111" s="89"/>
      <c r="L111" s="89"/>
      <c r="M111" s="93"/>
      <c r="N111" s="89"/>
      <c r="O111" s="89"/>
      <c r="P111" s="89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6.5" customHeight="1">
      <c r="A112" s="89"/>
      <c r="B112" s="89"/>
      <c r="C112" s="89"/>
      <c r="D112" s="89"/>
      <c r="E112" s="89"/>
      <c r="F112" s="89"/>
      <c r="G112" s="89"/>
      <c r="H112" s="93"/>
      <c r="I112" s="89"/>
      <c r="J112" s="89"/>
      <c r="K112" s="89"/>
      <c r="L112" s="89"/>
      <c r="M112" s="93"/>
      <c r="N112" s="89"/>
      <c r="O112" s="89"/>
      <c r="P112" s="89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6.5" customHeight="1">
      <c r="A113" s="89"/>
      <c r="B113" s="89"/>
      <c r="C113" s="89"/>
      <c r="D113" s="89"/>
      <c r="E113" s="89"/>
      <c r="F113" s="89"/>
      <c r="G113" s="89"/>
      <c r="H113" s="93"/>
      <c r="I113" s="89"/>
      <c r="J113" s="89"/>
      <c r="K113" s="89"/>
      <c r="L113" s="89"/>
      <c r="M113" s="93"/>
      <c r="N113" s="89"/>
      <c r="O113" s="89"/>
      <c r="P113" s="89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6.5" customHeight="1">
      <c r="A114" s="89"/>
      <c r="B114" s="89"/>
      <c r="C114" s="89"/>
      <c r="D114" s="89"/>
      <c r="E114" s="89"/>
      <c r="F114" s="89"/>
      <c r="G114" s="89"/>
      <c r="H114" s="93"/>
      <c r="I114" s="89"/>
      <c r="J114" s="89"/>
      <c r="K114" s="89"/>
      <c r="L114" s="89"/>
      <c r="M114" s="93"/>
      <c r="N114" s="89"/>
      <c r="O114" s="89"/>
      <c r="P114" s="89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6.5" customHeight="1">
      <c r="A115" s="89"/>
      <c r="B115" s="89"/>
      <c r="C115" s="89"/>
      <c r="D115" s="89"/>
      <c r="E115" s="89"/>
      <c r="F115" s="89"/>
      <c r="G115" s="89"/>
      <c r="H115" s="93"/>
      <c r="I115" s="89"/>
      <c r="J115" s="89"/>
      <c r="K115" s="89"/>
      <c r="L115" s="89"/>
      <c r="M115" s="93"/>
      <c r="N115" s="89"/>
      <c r="O115" s="89"/>
      <c r="P115" s="89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6.5" customHeight="1">
      <c r="A116" s="89"/>
      <c r="B116" s="89"/>
      <c r="C116" s="89"/>
      <c r="D116" s="89"/>
      <c r="E116" s="89"/>
      <c r="F116" s="89"/>
      <c r="G116" s="89"/>
      <c r="H116" s="93"/>
      <c r="I116" s="89"/>
      <c r="J116" s="89"/>
      <c r="K116" s="89"/>
      <c r="L116" s="89"/>
      <c r="M116" s="93"/>
      <c r="N116" s="89"/>
      <c r="O116" s="89"/>
      <c r="P116" s="89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6.5" customHeight="1">
      <c r="A117" s="89"/>
      <c r="B117" s="89"/>
      <c r="C117" s="89"/>
      <c r="D117" s="89"/>
      <c r="E117" s="89"/>
      <c r="F117" s="89"/>
      <c r="G117" s="89"/>
      <c r="H117" s="93"/>
      <c r="I117" s="89"/>
      <c r="J117" s="89"/>
      <c r="K117" s="89"/>
      <c r="L117" s="89"/>
      <c r="M117" s="93"/>
      <c r="N117" s="89"/>
      <c r="O117" s="89"/>
      <c r="P117" s="89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6.5" customHeight="1">
      <c r="A118" s="89"/>
      <c r="B118" s="89"/>
      <c r="C118" s="89"/>
      <c r="D118" s="89"/>
      <c r="E118" s="89"/>
      <c r="F118" s="89"/>
      <c r="G118" s="89"/>
      <c r="H118" s="93"/>
      <c r="I118" s="89"/>
      <c r="J118" s="89"/>
      <c r="K118" s="89"/>
      <c r="L118" s="89"/>
      <c r="M118" s="93"/>
      <c r="N118" s="89"/>
      <c r="O118" s="89"/>
      <c r="P118" s="89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6.5" customHeight="1">
      <c r="A119" s="89"/>
      <c r="B119" s="89"/>
      <c r="C119" s="89"/>
      <c r="D119" s="89"/>
      <c r="E119" s="89"/>
      <c r="F119" s="89"/>
      <c r="G119" s="89"/>
      <c r="H119" s="93"/>
      <c r="I119" s="89"/>
      <c r="J119" s="89"/>
      <c r="K119" s="89"/>
      <c r="L119" s="89"/>
      <c r="M119" s="93"/>
      <c r="N119" s="89"/>
      <c r="O119" s="89"/>
      <c r="P119" s="89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6.5" customHeight="1">
      <c r="A120" s="89"/>
      <c r="B120" s="89"/>
      <c r="C120" s="89"/>
      <c r="D120" s="89"/>
      <c r="E120" s="89"/>
      <c r="F120" s="89"/>
      <c r="G120" s="89"/>
      <c r="H120" s="93"/>
      <c r="I120" s="89"/>
      <c r="J120" s="89"/>
      <c r="K120" s="89"/>
      <c r="L120" s="89"/>
      <c r="M120" s="93"/>
      <c r="N120" s="89"/>
      <c r="O120" s="89"/>
      <c r="P120" s="89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6.5" customHeight="1">
      <c r="A121" s="89"/>
      <c r="B121" s="89"/>
      <c r="C121" s="89"/>
      <c r="D121" s="89"/>
      <c r="E121" s="89"/>
      <c r="F121" s="89"/>
      <c r="G121" s="89"/>
      <c r="H121" s="93"/>
      <c r="I121" s="89"/>
      <c r="J121" s="89"/>
      <c r="K121" s="89"/>
      <c r="L121" s="89"/>
      <c r="M121" s="93"/>
      <c r="N121" s="89"/>
      <c r="O121" s="89"/>
      <c r="P121" s="89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6.5" customHeight="1">
      <c r="A122" s="89"/>
      <c r="B122" s="89"/>
      <c r="C122" s="89"/>
      <c r="D122" s="89"/>
      <c r="E122" s="89"/>
      <c r="F122" s="89"/>
      <c r="G122" s="89"/>
      <c r="H122" s="93"/>
      <c r="I122" s="89"/>
      <c r="J122" s="89"/>
      <c r="K122" s="89"/>
      <c r="L122" s="89"/>
      <c r="M122" s="93"/>
      <c r="N122" s="89"/>
      <c r="O122" s="89"/>
      <c r="P122" s="89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6.5" customHeight="1">
      <c r="A123" s="89"/>
      <c r="B123" s="89"/>
      <c r="C123" s="89"/>
      <c r="D123" s="89"/>
      <c r="E123" s="89"/>
      <c r="F123" s="89"/>
      <c r="G123" s="89"/>
      <c r="H123" s="93"/>
      <c r="I123" s="89"/>
      <c r="J123" s="89"/>
      <c r="K123" s="89"/>
      <c r="L123" s="89"/>
      <c r="M123" s="93"/>
      <c r="N123" s="89"/>
      <c r="O123" s="89"/>
      <c r="P123" s="89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26.25" customHeight="1">
      <c r="A124" s="89"/>
      <c r="B124" s="89"/>
      <c r="C124" s="89"/>
      <c r="D124" s="89"/>
      <c r="E124" s="89"/>
      <c r="F124" s="89"/>
      <c r="G124" s="89"/>
      <c r="H124" s="93"/>
      <c r="I124" s="89"/>
      <c r="J124" s="89"/>
      <c r="K124" s="89"/>
      <c r="L124" s="89"/>
      <c r="M124" s="93"/>
      <c r="N124" s="89"/>
      <c r="O124" s="89"/>
      <c r="P124" s="89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26.25" customHeight="1">
      <c r="A125" s="89"/>
      <c r="B125" s="89"/>
      <c r="C125" s="89"/>
      <c r="D125" s="89"/>
      <c r="E125" s="89"/>
      <c r="F125" s="89"/>
      <c r="G125" s="89"/>
      <c r="H125" s="93"/>
      <c r="I125" s="89"/>
      <c r="J125" s="89"/>
      <c r="K125" s="89"/>
      <c r="L125" s="89"/>
      <c r="M125" s="93"/>
      <c r="N125" s="89"/>
      <c r="O125" s="89"/>
      <c r="P125" s="89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26.25" customHeight="1">
      <c r="A126" s="89"/>
      <c r="B126" s="89"/>
      <c r="C126" s="89"/>
      <c r="D126" s="89"/>
      <c r="E126" s="89"/>
      <c r="F126" s="89"/>
      <c r="G126" s="89"/>
      <c r="H126" s="93"/>
      <c r="I126" s="89"/>
      <c r="J126" s="89"/>
      <c r="K126" s="89"/>
      <c r="L126" s="89"/>
      <c r="M126" s="93"/>
      <c r="N126" s="89"/>
      <c r="O126" s="89"/>
      <c r="P126" s="89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6.25" customHeight="1">
      <c r="A127" s="89"/>
      <c r="B127" s="89"/>
      <c r="C127" s="89"/>
      <c r="D127" s="89"/>
      <c r="E127" s="89"/>
      <c r="F127" s="89"/>
      <c r="G127" s="89"/>
      <c r="H127" s="93"/>
      <c r="I127" s="89"/>
      <c r="J127" s="89"/>
      <c r="K127" s="89"/>
      <c r="L127" s="89"/>
      <c r="M127" s="93"/>
      <c r="N127" s="89"/>
      <c r="O127" s="89"/>
      <c r="P127" s="89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6.25" customHeight="1">
      <c r="A128" s="89"/>
      <c r="B128" s="89"/>
      <c r="C128" s="89"/>
      <c r="D128" s="89"/>
      <c r="E128" s="89"/>
      <c r="F128" s="89"/>
      <c r="G128" s="89"/>
      <c r="H128" s="93"/>
      <c r="I128" s="89"/>
      <c r="J128" s="89"/>
      <c r="K128" s="89"/>
      <c r="L128" s="89"/>
      <c r="M128" s="93"/>
      <c r="N128" s="89"/>
      <c r="O128" s="89"/>
      <c r="P128" s="89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6.25" customHeight="1">
      <c r="A129" s="89"/>
      <c r="B129" s="89"/>
      <c r="C129" s="89"/>
      <c r="D129" s="89"/>
      <c r="E129" s="89"/>
      <c r="F129" s="89"/>
      <c r="G129" s="89"/>
      <c r="H129" s="93"/>
      <c r="I129" s="89"/>
      <c r="J129" s="89"/>
      <c r="K129" s="89"/>
      <c r="L129" s="89"/>
      <c r="M129" s="93"/>
      <c r="N129" s="89"/>
      <c r="O129" s="89"/>
      <c r="P129" s="89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6.25" customHeight="1">
      <c r="A130" s="89"/>
      <c r="B130" s="89"/>
      <c r="C130" s="89"/>
      <c r="D130" s="89"/>
      <c r="E130" s="89"/>
      <c r="F130" s="89"/>
      <c r="G130" s="89"/>
      <c r="H130" s="93"/>
      <c r="I130" s="89"/>
      <c r="J130" s="89"/>
      <c r="K130" s="89"/>
      <c r="L130" s="89"/>
      <c r="M130" s="93"/>
      <c r="N130" s="89"/>
      <c r="O130" s="89"/>
      <c r="P130" s="89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5"/>
      <c r="I131" s="12"/>
      <c r="J131" s="12"/>
      <c r="K131" s="12"/>
      <c r="L131" s="12"/>
      <c r="M131" s="5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5"/>
      <c r="I132" s="12"/>
      <c r="J132" s="12"/>
      <c r="K132" s="12"/>
      <c r="L132" s="12"/>
      <c r="M132" s="5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5"/>
      <c r="I133" s="12"/>
      <c r="J133" s="12"/>
      <c r="K133" s="12"/>
      <c r="L133" s="12"/>
      <c r="M133" s="5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5"/>
      <c r="I134" s="12"/>
      <c r="J134" s="12"/>
      <c r="K134" s="12"/>
      <c r="L134" s="12"/>
      <c r="M134" s="5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5"/>
      <c r="I135" s="12"/>
      <c r="J135" s="12"/>
      <c r="K135" s="12"/>
      <c r="L135" s="12"/>
      <c r="M135" s="5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5"/>
      <c r="I136" s="12"/>
      <c r="J136" s="12"/>
      <c r="K136" s="12"/>
      <c r="L136" s="12"/>
      <c r="M136" s="5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5"/>
      <c r="I137" s="12"/>
      <c r="J137" s="12"/>
      <c r="K137" s="12"/>
      <c r="L137" s="12"/>
      <c r="M137" s="5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5"/>
      <c r="I138" s="12"/>
      <c r="J138" s="12"/>
      <c r="K138" s="12"/>
      <c r="L138" s="12"/>
      <c r="M138" s="5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5"/>
      <c r="I139" s="12"/>
      <c r="J139" s="12"/>
      <c r="K139" s="12"/>
      <c r="L139" s="12"/>
      <c r="M139" s="5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5"/>
      <c r="I140" s="12"/>
      <c r="J140" s="12"/>
      <c r="K140" s="12"/>
      <c r="L140" s="12"/>
      <c r="M140" s="5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5"/>
      <c r="I141" s="12"/>
      <c r="J141" s="12"/>
      <c r="K141" s="12"/>
      <c r="L141" s="12"/>
      <c r="M141" s="5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5"/>
      <c r="I142" s="12"/>
      <c r="J142" s="12"/>
      <c r="K142" s="12"/>
      <c r="L142" s="12"/>
      <c r="M142" s="5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5"/>
      <c r="I143" s="12"/>
      <c r="J143" s="12"/>
      <c r="K143" s="12"/>
      <c r="L143" s="12"/>
      <c r="M143" s="5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5"/>
      <c r="I144" s="12"/>
      <c r="J144" s="12"/>
      <c r="K144" s="12"/>
      <c r="L144" s="12"/>
      <c r="M144" s="5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5"/>
      <c r="I145" s="12"/>
      <c r="J145" s="12"/>
      <c r="K145" s="12"/>
      <c r="L145" s="12"/>
      <c r="M145" s="5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5"/>
      <c r="I146" s="12"/>
      <c r="J146" s="12"/>
      <c r="K146" s="12"/>
      <c r="L146" s="12"/>
      <c r="M146" s="5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5"/>
      <c r="I147" s="12"/>
      <c r="J147" s="12"/>
      <c r="K147" s="12"/>
      <c r="L147" s="12"/>
      <c r="M147" s="5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5"/>
      <c r="I148" s="12"/>
      <c r="J148" s="12"/>
      <c r="K148" s="12"/>
      <c r="L148" s="12"/>
      <c r="M148" s="5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5"/>
      <c r="I149" s="12"/>
      <c r="J149" s="12"/>
      <c r="K149" s="12"/>
      <c r="L149" s="12"/>
      <c r="M149" s="5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5"/>
      <c r="I150" s="12"/>
      <c r="J150" s="12"/>
      <c r="K150" s="12"/>
      <c r="L150" s="12"/>
      <c r="M150" s="5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5"/>
      <c r="I151" s="12"/>
      <c r="J151" s="12"/>
      <c r="K151" s="12"/>
      <c r="L151" s="12"/>
      <c r="M151" s="5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5"/>
      <c r="I152" s="12"/>
      <c r="J152" s="12"/>
      <c r="K152" s="12"/>
      <c r="L152" s="12"/>
      <c r="M152" s="5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5"/>
      <c r="I153" s="12"/>
      <c r="J153" s="12"/>
      <c r="K153" s="12"/>
      <c r="L153" s="12"/>
      <c r="M153" s="5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5"/>
      <c r="I154" s="12"/>
      <c r="J154" s="12"/>
      <c r="K154" s="12"/>
      <c r="L154" s="12"/>
      <c r="M154" s="5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5"/>
      <c r="I155" s="12"/>
      <c r="J155" s="12"/>
      <c r="K155" s="12"/>
      <c r="L155" s="12"/>
      <c r="M155" s="5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5"/>
      <c r="I156" s="12"/>
      <c r="J156" s="12"/>
      <c r="K156" s="12"/>
      <c r="L156" s="12"/>
      <c r="M156" s="5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5"/>
      <c r="I157" s="12"/>
      <c r="J157" s="12"/>
      <c r="K157" s="12"/>
      <c r="L157" s="12"/>
      <c r="M157" s="5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5"/>
      <c r="I158" s="12"/>
      <c r="J158" s="12"/>
      <c r="K158" s="12"/>
      <c r="L158" s="12"/>
      <c r="M158" s="5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5"/>
      <c r="I159" s="12"/>
      <c r="J159" s="12"/>
      <c r="K159" s="12"/>
      <c r="L159" s="12"/>
      <c r="M159" s="5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5"/>
      <c r="I160" s="12"/>
      <c r="J160" s="12"/>
      <c r="K160" s="12"/>
      <c r="L160" s="12"/>
      <c r="M160" s="5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5"/>
      <c r="I161" s="12"/>
      <c r="J161" s="12"/>
      <c r="K161" s="12"/>
      <c r="L161" s="12"/>
      <c r="M161" s="5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5"/>
      <c r="I162" s="12"/>
      <c r="J162" s="12"/>
      <c r="K162" s="12"/>
      <c r="L162" s="12"/>
      <c r="M162" s="5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5"/>
      <c r="I163" s="12"/>
      <c r="J163" s="12"/>
      <c r="K163" s="12"/>
      <c r="L163" s="12"/>
      <c r="M163" s="5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5"/>
      <c r="I164" s="12"/>
      <c r="J164" s="12"/>
      <c r="K164" s="12"/>
      <c r="L164" s="12"/>
      <c r="M164" s="5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5"/>
      <c r="I165" s="12"/>
      <c r="J165" s="12"/>
      <c r="K165" s="12"/>
      <c r="L165" s="12"/>
      <c r="M165" s="5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5"/>
      <c r="I166" s="12"/>
      <c r="J166" s="12"/>
      <c r="K166" s="12"/>
      <c r="L166" s="12"/>
      <c r="M166" s="5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5"/>
      <c r="I167" s="12"/>
      <c r="J167" s="12"/>
      <c r="K167" s="12"/>
      <c r="L167" s="12"/>
      <c r="M167" s="5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5"/>
      <c r="I168" s="12"/>
      <c r="J168" s="12"/>
      <c r="K168" s="12"/>
      <c r="L168" s="12"/>
      <c r="M168" s="5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5"/>
      <c r="I169" s="12"/>
      <c r="J169" s="12"/>
      <c r="K169" s="12"/>
      <c r="L169" s="12"/>
      <c r="M169" s="5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5"/>
      <c r="I170" s="12"/>
      <c r="J170" s="12"/>
      <c r="K170" s="12"/>
      <c r="L170" s="12"/>
      <c r="M170" s="5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5"/>
      <c r="I171" s="12"/>
      <c r="J171" s="12"/>
      <c r="K171" s="12"/>
      <c r="L171" s="12"/>
      <c r="M171" s="5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5"/>
      <c r="I172" s="12"/>
      <c r="J172" s="12"/>
      <c r="K172" s="12"/>
      <c r="L172" s="12"/>
      <c r="M172" s="5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5"/>
      <c r="I173" s="12"/>
      <c r="J173" s="12"/>
      <c r="K173" s="12"/>
      <c r="L173" s="12"/>
      <c r="M173" s="5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5"/>
      <c r="I174" s="12"/>
      <c r="J174" s="12"/>
      <c r="K174" s="12"/>
      <c r="L174" s="12"/>
      <c r="M174" s="5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5"/>
      <c r="I175" s="12"/>
      <c r="J175" s="12"/>
      <c r="K175" s="12"/>
      <c r="L175" s="12"/>
      <c r="M175" s="5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5"/>
      <c r="I176" s="12"/>
      <c r="J176" s="12"/>
      <c r="K176" s="12"/>
      <c r="L176" s="12"/>
      <c r="M176" s="5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5"/>
      <c r="I177" s="12"/>
      <c r="J177" s="12"/>
      <c r="K177" s="12"/>
      <c r="L177" s="12"/>
      <c r="M177" s="5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5"/>
      <c r="I178" s="12"/>
      <c r="J178" s="12"/>
      <c r="K178" s="12"/>
      <c r="L178" s="12"/>
      <c r="M178" s="5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5"/>
      <c r="I179" s="12"/>
      <c r="J179" s="12"/>
      <c r="K179" s="12"/>
      <c r="L179" s="12"/>
      <c r="M179" s="5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5"/>
      <c r="I180" s="12"/>
      <c r="J180" s="12"/>
      <c r="K180" s="12"/>
      <c r="L180" s="12"/>
      <c r="M180" s="5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5"/>
      <c r="I181" s="12"/>
      <c r="J181" s="12"/>
      <c r="K181" s="12"/>
      <c r="L181" s="12"/>
      <c r="M181" s="5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5"/>
      <c r="I182" s="12"/>
      <c r="J182" s="12"/>
      <c r="K182" s="12"/>
      <c r="L182" s="12"/>
      <c r="M182" s="5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5"/>
      <c r="I183" s="12"/>
      <c r="J183" s="12"/>
      <c r="K183" s="12"/>
      <c r="L183" s="12"/>
      <c r="M183" s="5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5"/>
      <c r="I184" s="12"/>
      <c r="J184" s="12"/>
      <c r="K184" s="12"/>
      <c r="L184" s="12"/>
      <c r="M184" s="5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5"/>
      <c r="I185" s="12"/>
      <c r="J185" s="12"/>
      <c r="K185" s="12"/>
      <c r="L185" s="12"/>
      <c r="M185" s="5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5"/>
      <c r="I186" s="12"/>
      <c r="J186" s="12"/>
      <c r="K186" s="12"/>
      <c r="L186" s="12"/>
      <c r="M186" s="5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5"/>
      <c r="I187" s="12"/>
      <c r="J187" s="12"/>
      <c r="K187" s="12"/>
      <c r="L187" s="12"/>
      <c r="M187" s="5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5"/>
      <c r="I188" s="12"/>
      <c r="J188" s="12"/>
      <c r="K188" s="12"/>
      <c r="L188" s="12"/>
      <c r="M188" s="5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5"/>
      <c r="I189" s="12"/>
      <c r="J189" s="12"/>
      <c r="K189" s="12"/>
      <c r="L189" s="12"/>
      <c r="M189" s="5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5"/>
      <c r="I190" s="12"/>
      <c r="J190" s="12"/>
      <c r="K190" s="12"/>
      <c r="L190" s="12"/>
      <c r="M190" s="5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5"/>
      <c r="I191" s="12"/>
      <c r="J191" s="12"/>
      <c r="K191" s="12"/>
      <c r="L191" s="12"/>
      <c r="M191" s="5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5"/>
      <c r="I192" s="12"/>
      <c r="J192" s="12"/>
      <c r="K192" s="12"/>
      <c r="L192" s="12"/>
      <c r="M192" s="5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5"/>
      <c r="I193" s="12"/>
      <c r="J193" s="12"/>
      <c r="K193" s="12"/>
      <c r="L193" s="12"/>
      <c r="M193" s="5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5"/>
      <c r="I194" s="12"/>
      <c r="J194" s="12"/>
      <c r="K194" s="12"/>
      <c r="L194" s="12"/>
      <c r="M194" s="5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5"/>
      <c r="I195" s="12"/>
      <c r="J195" s="12"/>
      <c r="K195" s="12"/>
      <c r="L195" s="12"/>
      <c r="M195" s="5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5"/>
      <c r="I196" s="12"/>
      <c r="J196" s="12"/>
      <c r="K196" s="12"/>
      <c r="L196" s="12"/>
      <c r="M196" s="5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5"/>
      <c r="I197" s="12"/>
      <c r="J197" s="12"/>
      <c r="K197" s="12"/>
      <c r="L197" s="12"/>
      <c r="M197" s="5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5"/>
      <c r="I198" s="12"/>
      <c r="J198" s="12"/>
      <c r="K198" s="12"/>
      <c r="L198" s="12"/>
      <c r="M198" s="5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5"/>
      <c r="I199" s="12"/>
      <c r="J199" s="12"/>
      <c r="K199" s="12"/>
      <c r="L199" s="12"/>
      <c r="M199" s="5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5"/>
      <c r="I200" s="12"/>
      <c r="J200" s="12"/>
      <c r="K200" s="12"/>
      <c r="L200" s="12"/>
      <c r="M200" s="5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5"/>
      <c r="I201" s="12"/>
      <c r="J201" s="12"/>
      <c r="K201" s="12"/>
      <c r="L201" s="12"/>
      <c r="M201" s="5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5"/>
      <c r="I202" s="12"/>
      <c r="J202" s="12"/>
      <c r="K202" s="12"/>
      <c r="L202" s="12"/>
      <c r="M202" s="5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5"/>
      <c r="I203" s="12"/>
      <c r="J203" s="12"/>
      <c r="K203" s="12"/>
      <c r="L203" s="12"/>
      <c r="M203" s="5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5"/>
      <c r="I204" s="12"/>
      <c r="J204" s="12"/>
      <c r="K204" s="12"/>
      <c r="L204" s="12"/>
      <c r="M204" s="5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5"/>
      <c r="I205" s="12"/>
      <c r="J205" s="12"/>
      <c r="K205" s="12"/>
      <c r="L205" s="12"/>
      <c r="M205" s="5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5"/>
      <c r="I206" s="12"/>
      <c r="J206" s="12"/>
      <c r="K206" s="12"/>
      <c r="L206" s="12"/>
      <c r="M206" s="5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5"/>
      <c r="I207" s="12"/>
      <c r="J207" s="12"/>
      <c r="K207" s="12"/>
      <c r="L207" s="12"/>
      <c r="M207" s="5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5"/>
      <c r="I208" s="12"/>
      <c r="J208" s="12"/>
      <c r="K208" s="12"/>
      <c r="L208" s="12"/>
      <c r="M208" s="5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5"/>
      <c r="I209" s="12"/>
      <c r="J209" s="12"/>
      <c r="K209" s="12"/>
      <c r="L209" s="12"/>
      <c r="M209" s="5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5"/>
      <c r="I210" s="12"/>
      <c r="J210" s="12"/>
      <c r="K210" s="12"/>
      <c r="L210" s="12"/>
      <c r="M210" s="5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5"/>
      <c r="I211" s="12"/>
      <c r="J211" s="12"/>
      <c r="K211" s="12"/>
      <c r="L211" s="12"/>
      <c r="M211" s="5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5"/>
      <c r="I212" s="12"/>
      <c r="J212" s="12"/>
      <c r="K212" s="12"/>
      <c r="L212" s="12"/>
      <c r="M212" s="5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5"/>
      <c r="I213" s="12"/>
      <c r="J213" s="12"/>
      <c r="K213" s="12"/>
      <c r="L213" s="12"/>
      <c r="M213" s="5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5"/>
      <c r="I214" s="12"/>
      <c r="J214" s="12"/>
      <c r="K214" s="12"/>
      <c r="L214" s="12"/>
      <c r="M214" s="5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5"/>
      <c r="I215" s="12"/>
      <c r="J215" s="12"/>
      <c r="K215" s="12"/>
      <c r="L215" s="12"/>
      <c r="M215" s="5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5"/>
      <c r="I216" s="12"/>
      <c r="J216" s="12"/>
      <c r="K216" s="12"/>
      <c r="L216" s="12"/>
      <c r="M216" s="5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5"/>
      <c r="I217" s="12"/>
      <c r="J217" s="12"/>
      <c r="K217" s="12"/>
      <c r="L217" s="12"/>
      <c r="M217" s="5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5"/>
      <c r="I218" s="12"/>
      <c r="J218" s="12"/>
      <c r="K218" s="12"/>
      <c r="L218" s="12"/>
      <c r="M218" s="5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5"/>
      <c r="I219" s="12"/>
      <c r="J219" s="12"/>
      <c r="K219" s="12"/>
      <c r="L219" s="12"/>
      <c r="M219" s="5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5"/>
      <c r="I220" s="12"/>
      <c r="J220" s="12"/>
      <c r="K220" s="12"/>
      <c r="L220" s="12"/>
      <c r="M220" s="5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5"/>
      <c r="I221" s="12"/>
      <c r="J221" s="12"/>
      <c r="K221" s="12"/>
      <c r="L221" s="12"/>
      <c r="M221" s="5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5"/>
      <c r="I222" s="12"/>
      <c r="J222" s="12"/>
      <c r="K222" s="12"/>
      <c r="L222" s="12"/>
      <c r="M222" s="5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5"/>
      <c r="I223" s="12"/>
      <c r="J223" s="12"/>
      <c r="K223" s="12"/>
      <c r="L223" s="12"/>
      <c r="M223" s="5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5"/>
      <c r="I224" s="12"/>
      <c r="J224" s="12"/>
      <c r="K224" s="12"/>
      <c r="L224" s="12"/>
      <c r="M224" s="5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5"/>
      <c r="I225" s="12"/>
      <c r="J225" s="12"/>
      <c r="K225" s="12"/>
      <c r="L225" s="12"/>
      <c r="M225" s="5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5"/>
      <c r="I226" s="12"/>
      <c r="J226" s="12"/>
      <c r="K226" s="12"/>
      <c r="L226" s="12"/>
      <c r="M226" s="5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5"/>
      <c r="I227" s="12"/>
      <c r="J227" s="12"/>
      <c r="K227" s="12"/>
      <c r="L227" s="12"/>
      <c r="M227" s="5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5"/>
      <c r="I228" s="12"/>
      <c r="J228" s="12"/>
      <c r="K228" s="12"/>
      <c r="L228" s="12"/>
      <c r="M228" s="5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5"/>
      <c r="I229" s="12"/>
      <c r="J229" s="12"/>
      <c r="K229" s="12"/>
      <c r="L229" s="12"/>
      <c r="M229" s="5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5"/>
      <c r="I230" s="12"/>
      <c r="J230" s="12"/>
      <c r="K230" s="12"/>
      <c r="L230" s="12"/>
      <c r="M230" s="5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2"/>
      <c r="C231" s="12"/>
      <c r="D231" s="12"/>
      <c r="E231" s="12"/>
      <c r="F231" s="12"/>
      <c r="G231" s="12"/>
      <c r="H231" s="5"/>
      <c r="I231" s="12"/>
      <c r="J231" s="12"/>
      <c r="K231" s="12"/>
      <c r="L231" s="12"/>
      <c r="M231" s="5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2"/>
      <c r="C232" s="12"/>
      <c r="D232" s="12"/>
      <c r="E232" s="12"/>
      <c r="F232" s="12"/>
      <c r="G232" s="12"/>
      <c r="H232" s="5"/>
      <c r="I232" s="12"/>
      <c r="J232" s="12"/>
      <c r="K232" s="12"/>
      <c r="L232" s="12"/>
      <c r="M232" s="5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2"/>
      <c r="C233" s="12"/>
      <c r="D233" s="12"/>
      <c r="E233" s="12"/>
      <c r="F233" s="12"/>
      <c r="G233" s="12"/>
      <c r="H233" s="5"/>
      <c r="I233" s="12"/>
      <c r="J233" s="12"/>
      <c r="K233" s="12"/>
      <c r="L233" s="12"/>
      <c r="M233" s="5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2"/>
      <c r="C234" s="12"/>
      <c r="D234" s="12"/>
      <c r="E234" s="12"/>
      <c r="F234" s="12"/>
      <c r="G234" s="12"/>
      <c r="H234" s="5"/>
      <c r="I234" s="12"/>
      <c r="J234" s="12"/>
      <c r="K234" s="12"/>
      <c r="L234" s="12"/>
      <c r="M234" s="5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5"/>
      <c r="I235" s="12"/>
      <c r="J235" s="12"/>
      <c r="K235" s="12"/>
      <c r="L235" s="12"/>
      <c r="M235" s="5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5"/>
      <c r="I236" s="12"/>
      <c r="J236" s="12"/>
      <c r="K236" s="12"/>
      <c r="L236" s="12"/>
      <c r="M236" s="5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5"/>
      <c r="I237" s="12"/>
      <c r="J237" s="12"/>
      <c r="K237" s="12"/>
      <c r="L237" s="12"/>
      <c r="M237" s="5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5"/>
      <c r="I238" s="12"/>
      <c r="J238" s="12"/>
      <c r="K238" s="12"/>
      <c r="L238" s="12"/>
      <c r="M238" s="5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5"/>
      <c r="I239" s="12"/>
      <c r="J239" s="12"/>
      <c r="K239" s="12"/>
      <c r="L239" s="12"/>
      <c r="M239" s="5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5"/>
      <c r="I240" s="12"/>
      <c r="J240" s="12"/>
      <c r="K240" s="12"/>
      <c r="L240" s="12"/>
      <c r="M240" s="5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5"/>
      <c r="I241" s="12"/>
      <c r="J241" s="12"/>
      <c r="K241" s="12"/>
      <c r="L241" s="12"/>
      <c r="M241" s="5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5"/>
      <c r="I242" s="12"/>
      <c r="J242" s="12"/>
      <c r="K242" s="12"/>
      <c r="L242" s="12"/>
      <c r="M242" s="5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5"/>
      <c r="I243" s="12"/>
      <c r="J243" s="12"/>
      <c r="K243" s="12"/>
      <c r="L243" s="12"/>
      <c r="M243" s="5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5"/>
      <c r="I244" s="12"/>
      <c r="J244" s="12"/>
      <c r="K244" s="12"/>
      <c r="L244" s="12"/>
      <c r="M244" s="5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5"/>
      <c r="I245" s="12"/>
      <c r="J245" s="12"/>
      <c r="K245" s="12"/>
      <c r="L245" s="12"/>
      <c r="M245" s="5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5"/>
      <c r="I246" s="12"/>
      <c r="J246" s="12"/>
      <c r="K246" s="12"/>
      <c r="L246" s="12"/>
      <c r="M246" s="5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5"/>
      <c r="I247" s="12"/>
      <c r="J247" s="12"/>
      <c r="K247" s="12"/>
      <c r="L247" s="12"/>
      <c r="M247" s="5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5"/>
      <c r="I248" s="12"/>
      <c r="J248" s="12"/>
      <c r="K248" s="12"/>
      <c r="L248" s="12"/>
      <c r="M248" s="5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5"/>
      <c r="I249" s="12"/>
      <c r="J249" s="12"/>
      <c r="K249" s="12"/>
      <c r="L249" s="12"/>
      <c r="M249" s="5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5"/>
      <c r="I250" s="12"/>
      <c r="J250" s="12"/>
      <c r="K250" s="12"/>
      <c r="L250" s="12"/>
      <c r="M250" s="5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5"/>
      <c r="I251" s="12"/>
      <c r="J251" s="12"/>
      <c r="K251" s="12"/>
      <c r="L251" s="12"/>
      <c r="M251" s="5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5"/>
      <c r="I252" s="12"/>
      <c r="J252" s="12"/>
      <c r="K252" s="12"/>
      <c r="L252" s="12"/>
      <c r="M252" s="5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5"/>
      <c r="I253" s="12"/>
      <c r="J253" s="12"/>
      <c r="K253" s="12"/>
      <c r="L253" s="12"/>
      <c r="M253" s="5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5"/>
      <c r="I254" s="12"/>
      <c r="J254" s="12"/>
      <c r="K254" s="12"/>
      <c r="L254" s="12"/>
      <c r="M254" s="5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5"/>
      <c r="I255" s="12"/>
      <c r="J255" s="12"/>
      <c r="K255" s="12"/>
      <c r="L255" s="12"/>
      <c r="M255" s="5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5"/>
      <c r="I256" s="12"/>
      <c r="J256" s="12"/>
      <c r="K256" s="12"/>
      <c r="L256" s="12"/>
      <c r="M256" s="5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5"/>
      <c r="I257" s="12"/>
      <c r="J257" s="12"/>
      <c r="K257" s="12"/>
      <c r="L257" s="12"/>
      <c r="M257" s="5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5"/>
      <c r="I258" s="12"/>
      <c r="J258" s="12"/>
      <c r="K258" s="12"/>
      <c r="L258" s="12"/>
      <c r="M258" s="5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5"/>
      <c r="I259" s="12"/>
      <c r="J259" s="12"/>
      <c r="K259" s="12"/>
      <c r="L259" s="12"/>
      <c r="M259" s="5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5"/>
      <c r="I260" s="12"/>
      <c r="J260" s="12"/>
      <c r="K260" s="12"/>
      <c r="L260" s="12"/>
      <c r="M260" s="5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5"/>
      <c r="I261" s="12"/>
      <c r="J261" s="12"/>
      <c r="K261" s="12"/>
      <c r="L261" s="12"/>
      <c r="M261" s="5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5"/>
      <c r="I262" s="12"/>
      <c r="J262" s="12"/>
      <c r="K262" s="12"/>
      <c r="L262" s="12"/>
      <c r="M262" s="5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5"/>
      <c r="I263" s="12"/>
      <c r="J263" s="12"/>
      <c r="K263" s="12"/>
      <c r="L263" s="12"/>
      <c r="M263" s="5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5"/>
      <c r="I264" s="12"/>
      <c r="J264" s="12"/>
      <c r="K264" s="12"/>
      <c r="L264" s="12"/>
      <c r="M264" s="5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5"/>
      <c r="I265" s="12"/>
      <c r="J265" s="12"/>
      <c r="K265" s="12"/>
      <c r="L265" s="12"/>
      <c r="M265" s="5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5"/>
      <c r="I266" s="12"/>
      <c r="J266" s="12"/>
      <c r="K266" s="12"/>
      <c r="L266" s="12"/>
      <c r="M266" s="5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5"/>
      <c r="I267" s="12"/>
      <c r="J267" s="12"/>
      <c r="K267" s="12"/>
      <c r="L267" s="12"/>
      <c r="M267" s="5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5"/>
      <c r="I268" s="12"/>
      <c r="J268" s="12"/>
      <c r="K268" s="12"/>
      <c r="L268" s="12"/>
      <c r="M268" s="5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5"/>
      <c r="I269" s="12"/>
      <c r="J269" s="12"/>
      <c r="K269" s="12"/>
      <c r="L269" s="12"/>
      <c r="M269" s="5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5"/>
      <c r="I270" s="12"/>
      <c r="J270" s="12"/>
      <c r="K270" s="12"/>
      <c r="L270" s="12"/>
      <c r="M270" s="5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5"/>
      <c r="I271" s="12"/>
      <c r="J271" s="12"/>
      <c r="K271" s="12"/>
      <c r="L271" s="12"/>
      <c r="M271" s="5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5"/>
      <c r="I272" s="12"/>
      <c r="J272" s="12"/>
      <c r="K272" s="12"/>
      <c r="L272" s="12"/>
      <c r="M272" s="5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5"/>
      <c r="I273" s="12"/>
      <c r="J273" s="12"/>
      <c r="K273" s="12"/>
      <c r="L273" s="12"/>
      <c r="M273" s="5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5"/>
      <c r="I274" s="12"/>
      <c r="J274" s="12"/>
      <c r="K274" s="12"/>
      <c r="L274" s="12"/>
      <c r="M274" s="5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5"/>
      <c r="I275" s="12"/>
      <c r="J275" s="12"/>
      <c r="K275" s="12"/>
      <c r="L275" s="12"/>
      <c r="M275" s="5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5"/>
      <c r="I276" s="12"/>
      <c r="J276" s="12"/>
      <c r="K276" s="12"/>
      <c r="L276" s="12"/>
      <c r="M276" s="5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5"/>
      <c r="I277" s="12"/>
      <c r="J277" s="12"/>
      <c r="K277" s="12"/>
      <c r="L277" s="12"/>
      <c r="M277" s="5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5"/>
      <c r="I278" s="12"/>
      <c r="J278" s="12"/>
      <c r="K278" s="12"/>
      <c r="L278" s="12"/>
      <c r="M278" s="5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5"/>
      <c r="I279" s="12"/>
      <c r="J279" s="12"/>
      <c r="K279" s="12"/>
      <c r="L279" s="12"/>
      <c r="M279" s="5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D2:H2"/>
    <mergeCell ref="I2:M2"/>
  </mergeCells>
  <printOptions/>
  <pageMargins bottom="1.574803149606299" footer="0.0" header="0.0" left="0.7000000000000001" right="0.7000000000000001" top="1.574803149606299"/>
  <pageSetup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88"/>
    <col customWidth="1" min="2" max="4" width="3.25"/>
    <col customWidth="1" min="5" max="5" width="22.0"/>
    <col customWidth="1" min="6" max="9" width="12.38"/>
    <col customWidth="1" min="10" max="26" width="10.38"/>
  </cols>
  <sheetData>
    <row r="1" ht="10.5" customHeight="1">
      <c r="A1" s="12"/>
      <c r="B1" s="104"/>
      <c r="C1" s="105"/>
      <c r="D1" s="105"/>
      <c r="E1" s="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0" customHeight="1">
      <c r="A2" s="12"/>
      <c r="B2" s="104" t="s">
        <v>277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0" customHeight="1">
      <c r="A3" s="12"/>
      <c r="B3" s="12"/>
      <c r="C3" s="1"/>
      <c r="D3" s="1"/>
      <c r="E3" s="1"/>
      <c r="F3" s="106">
        <v>2020.0</v>
      </c>
      <c r="G3" s="106">
        <v>2021.0</v>
      </c>
      <c r="H3" s="106">
        <v>2022.0</v>
      </c>
      <c r="I3" s="106">
        <v>2023.0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0" customHeight="1">
      <c r="A4" s="5"/>
      <c r="B4" s="5"/>
      <c r="C4" s="107" t="s">
        <v>278</v>
      </c>
      <c r="D4" s="107"/>
      <c r="E4" s="10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12"/>
      <c r="B5" s="12"/>
      <c r="C5" s="12" t="s">
        <v>279</v>
      </c>
      <c r="D5" s="1"/>
      <c r="E5" s="25"/>
      <c r="F5" s="40">
        <f t="shared" ref="F5:I5" si="1">F6</f>
        <v>0</v>
      </c>
      <c r="G5" s="40" t="str">
        <f t="shared" si="1"/>
        <v>#REF!</v>
      </c>
      <c r="H5" s="40" t="str">
        <f t="shared" si="1"/>
        <v>#REF!</v>
      </c>
      <c r="I5" s="40" t="str">
        <f t="shared" si="1"/>
        <v>#REF!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0" customHeight="1">
      <c r="A6" s="12"/>
      <c r="B6" s="12"/>
      <c r="C6" s="1"/>
      <c r="D6" s="12" t="s">
        <v>280</v>
      </c>
      <c r="E6" s="25"/>
      <c r="F6" s="40">
        <f t="shared" ref="F6:I6" si="2">SUM(F7:F11)</f>
        <v>0</v>
      </c>
      <c r="G6" s="40" t="str">
        <f t="shared" si="2"/>
        <v>#REF!</v>
      </c>
      <c r="H6" s="40" t="str">
        <f t="shared" si="2"/>
        <v>#REF!</v>
      </c>
      <c r="I6" s="40" t="str">
        <f t="shared" si="2"/>
        <v>#REF!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4.0" customHeight="1">
      <c r="A7" s="12"/>
      <c r="B7" s="12"/>
      <c r="C7" s="1"/>
      <c r="D7" s="1"/>
      <c r="E7" s="108" t="s">
        <v>281</v>
      </c>
      <c r="F7" s="40"/>
      <c r="G7" s="40">
        <v>0.0</v>
      </c>
      <c r="H7" s="40">
        <f>Kapitalbedarfsplanung!E4</f>
        <v>0</v>
      </c>
      <c r="I7" s="40">
        <v>0.0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0" customHeight="1">
      <c r="A8" s="12"/>
      <c r="B8" s="12"/>
      <c r="C8" s="1"/>
      <c r="D8" s="1"/>
      <c r="E8" s="108" t="s">
        <v>282</v>
      </c>
      <c r="F8" s="40">
        <v>0.0</v>
      </c>
      <c r="G8" s="40">
        <f>Investitionsplanung!J7</f>
        <v>0</v>
      </c>
      <c r="H8" s="40">
        <f>Investitionsplanung!L7</f>
        <v>0</v>
      </c>
      <c r="I8" s="40">
        <f>Investitionsplanung!N7</f>
        <v>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0" customHeight="1">
      <c r="A9" s="12"/>
      <c r="B9" s="12"/>
      <c r="C9" s="1"/>
      <c r="D9" s="1"/>
      <c r="E9" s="108" t="s">
        <v>283</v>
      </c>
      <c r="F9" s="40">
        <v>0.0</v>
      </c>
      <c r="G9" s="109" t="str">
        <f>Investitionsplanung!J13</f>
        <v>#REF!</v>
      </c>
      <c r="H9" s="109" t="str">
        <f>Investitionsplanung!L13</f>
        <v>#REF!</v>
      </c>
      <c r="I9" s="109" t="str">
        <f>Investitionsplanung!N13</f>
        <v>#REF!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6.25" customHeight="1">
      <c r="A10" s="12"/>
      <c r="B10" s="12"/>
      <c r="C10" s="1"/>
      <c r="D10" s="1"/>
      <c r="E10" s="108" t="s">
        <v>284</v>
      </c>
      <c r="F10" s="40">
        <v>0.0</v>
      </c>
      <c r="G10" s="40">
        <f>Investitionsplanung!J32</f>
        <v>0</v>
      </c>
      <c r="H10" s="40">
        <f>Investitionsplanung!L32</f>
        <v>0</v>
      </c>
      <c r="I10" s="40">
        <f>Investitionsplanung!N32</f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4.0" customHeight="1">
      <c r="A11" s="12"/>
      <c r="B11" s="12"/>
      <c r="C11" s="1"/>
      <c r="D11" s="1"/>
      <c r="E11" s="108" t="s">
        <v>285</v>
      </c>
      <c r="F11" s="40">
        <v>0.0</v>
      </c>
      <c r="G11" s="40">
        <f>Investitionsplanung!J56</f>
        <v>0</v>
      </c>
      <c r="H11" s="40">
        <f>Investitionsplanung!L56</f>
        <v>0</v>
      </c>
      <c r="I11" s="40">
        <f>Investitionsplanung!N56</f>
        <v>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0" customHeight="1">
      <c r="A12" s="12"/>
      <c r="B12" s="12"/>
      <c r="C12" s="12" t="s">
        <v>286</v>
      </c>
      <c r="D12" s="1"/>
      <c r="E12" s="25"/>
      <c r="F12" s="40">
        <f t="shared" ref="F12:I12" si="3">F13</f>
        <v>17039.8619</v>
      </c>
      <c r="G12" s="40" t="str">
        <f t="shared" si="3"/>
        <v>#REF!</v>
      </c>
      <c r="H12" s="40" t="str">
        <f t="shared" si="3"/>
        <v>#REF!</v>
      </c>
      <c r="I12" s="40" t="str">
        <f t="shared" si="3"/>
        <v>#REF!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0" customHeight="1">
      <c r="A13" s="12"/>
      <c r="B13" s="12"/>
      <c r="C13" s="1"/>
      <c r="D13" s="1"/>
      <c r="E13" s="108" t="s">
        <v>287</v>
      </c>
      <c r="F13" s="40">
        <f t="shared" ref="F13:I13" si="4">F24-F5</f>
        <v>17039.8619</v>
      </c>
      <c r="G13" s="40" t="str">
        <f t="shared" si="4"/>
        <v>#REF!</v>
      </c>
      <c r="H13" s="40" t="str">
        <f t="shared" si="4"/>
        <v>#REF!</v>
      </c>
      <c r="I13" s="40" t="str">
        <f t="shared" si="4"/>
        <v>#REF!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0" customHeight="1">
      <c r="A14" s="12"/>
      <c r="B14" s="12"/>
      <c r="C14" s="25"/>
      <c r="D14" s="25"/>
      <c r="E14" s="25"/>
      <c r="F14" s="40"/>
      <c r="G14" s="40"/>
      <c r="H14" s="40"/>
      <c r="I14" s="4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0" customHeight="1">
      <c r="A15" s="5"/>
      <c r="B15" s="5"/>
      <c r="C15" s="5" t="s">
        <v>288</v>
      </c>
      <c r="D15" s="5"/>
      <c r="E15" s="5"/>
      <c r="F15" s="38">
        <f t="shared" ref="F15:I15" si="5">F5+F12</f>
        <v>17039.8619</v>
      </c>
      <c r="G15" s="38" t="str">
        <f t="shared" si="5"/>
        <v>#REF!</v>
      </c>
      <c r="H15" s="38" t="str">
        <f t="shared" si="5"/>
        <v>#REF!</v>
      </c>
      <c r="I15" s="38" t="str">
        <f t="shared" si="5"/>
        <v>#REF!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2"/>
      <c r="B16" s="12"/>
      <c r="C16" s="5"/>
      <c r="D16" s="1"/>
      <c r="E16" s="1"/>
      <c r="F16" s="40"/>
      <c r="G16" s="40"/>
      <c r="H16" s="40"/>
      <c r="I16" s="4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0" customHeight="1">
      <c r="A17" s="12"/>
      <c r="B17" s="12"/>
      <c r="C17" s="1"/>
      <c r="D17" s="1"/>
      <c r="E17" s="1"/>
      <c r="F17" s="40"/>
      <c r="G17" s="40"/>
      <c r="H17" s="40"/>
      <c r="I17" s="40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0" customHeight="1">
      <c r="A18" s="12"/>
      <c r="B18" s="12"/>
      <c r="C18" s="107" t="s">
        <v>289</v>
      </c>
      <c r="D18" s="107"/>
      <c r="E18" s="25"/>
      <c r="F18" s="40"/>
      <c r="G18" s="40"/>
      <c r="H18" s="40"/>
      <c r="I18" s="4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0" customHeight="1">
      <c r="A19" s="12"/>
      <c r="B19" s="12"/>
      <c r="C19" s="12" t="s">
        <v>290</v>
      </c>
      <c r="D19" s="1"/>
      <c r="E19" s="25"/>
      <c r="F19" s="40">
        <f t="shared" ref="F19:I19" si="6">SUM(F20:F22)</f>
        <v>17039.8619</v>
      </c>
      <c r="G19" s="40" t="str">
        <f t="shared" si="6"/>
        <v>#REF!</v>
      </c>
      <c r="H19" s="40" t="str">
        <f t="shared" si="6"/>
        <v>#REF!</v>
      </c>
      <c r="I19" s="40" t="str">
        <f t="shared" si="6"/>
        <v>#REF!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0" customHeight="1">
      <c r="A20" s="12"/>
      <c r="B20" s="12"/>
      <c r="C20" s="1"/>
      <c r="D20" s="1"/>
      <c r="E20" s="25" t="s">
        <v>291</v>
      </c>
      <c r="F20" s="40">
        <f>'Mitglieder-_und_Einlagenentwick'!C6</f>
        <v>18480</v>
      </c>
      <c r="G20" s="40">
        <f>'Mitglieder-_und_Einlagenentwick'!D7</f>
        <v>42480</v>
      </c>
      <c r="H20" s="40">
        <f>'Mitglieder-_und_Einlagenentwick'!E7</f>
        <v>54480</v>
      </c>
      <c r="I20" s="40">
        <f>'Mitglieder-_und_Einlagenentwick'!F7</f>
        <v>66480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0" customHeight="1">
      <c r="A21" s="12"/>
      <c r="B21" s="12"/>
      <c r="C21" s="1"/>
      <c r="D21" s="1"/>
      <c r="E21" s="25" t="s">
        <v>292</v>
      </c>
      <c r="F21" s="40">
        <v>0.0</v>
      </c>
      <c r="G21" s="40">
        <f>F22</f>
        <v>-1440.138101</v>
      </c>
      <c r="H21" s="40" t="str">
        <f t="shared" ref="H21:I21" si="7">G21+G22</f>
        <v>#REF!</v>
      </c>
      <c r="I21" s="40" t="str">
        <f t="shared" si="7"/>
        <v>#REF!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0" customHeight="1">
      <c r="A22" s="12"/>
      <c r="B22" s="12"/>
      <c r="C22" s="1"/>
      <c r="D22" s="1"/>
      <c r="E22" s="108" t="s">
        <v>293</v>
      </c>
      <c r="F22" s="40">
        <f>Plan_GuV!H79</f>
        <v>-1440.138101</v>
      </c>
      <c r="G22" s="40" t="str">
        <f>Plan_GuV!M79</f>
        <v>#REF!</v>
      </c>
      <c r="H22" s="40" t="str">
        <f>Plan_GuV!N79</f>
        <v>#REF!</v>
      </c>
      <c r="I22" s="40" t="str">
        <f>Plan_GuV!O79</f>
        <v>#REF!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0" customHeight="1">
      <c r="A23" s="12"/>
      <c r="B23" s="12"/>
      <c r="C23" s="12" t="s">
        <v>294</v>
      </c>
      <c r="D23" s="1"/>
      <c r="E23" s="25"/>
      <c r="F23" s="40">
        <v>0.0</v>
      </c>
      <c r="G23" s="40">
        <v>0.0</v>
      </c>
      <c r="H23" s="40">
        <v>0.0</v>
      </c>
      <c r="I23" s="40">
        <v>0.0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0" customHeight="1">
      <c r="A24" s="5"/>
      <c r="B24" s="5"/>
      <c r="C24" s="5" t="s">
        <v>295</v>
      </c>
      <c r="D24" s="5"/>
      <c r="E24" s="5"/>
      <c r="F24" s="38">
        <f t="shared" ref="F24:I24" si="8">F19+F23</f>
        <v>17039.8619</v>
      </c>
      <c r="G24" s="38" t="str">
        <f t="shared" si="8"/>
        <v>#REF!</v>
      </c>
      <c r="H24" s="38" t="str">
        <f t="shared" si="8"/>
        <v>#REF!</v>
      </c>
      <c r="I24" s="38" t="str">
        <f t="shared" si="8"/>
        <v>#REF!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12"/>
      <c r="B25" s="12"/>
      <c r="C25" s="1"/>
      <c r="D25" s="1"/>
      <c r="E25" s="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0" customHeight="1">
      <c r="A26" s="12"/>
      <c r="B26" s="12"/>
      <c r="C26" s="1"/>
      <c r="D26" s="1"/>
      <c r="E26" s="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0" customHeight="1">
      <c r="A27" s="12"/>
      <c r="B27" s="12"/>
      <c r="C27" s="1"/>
      <c r="D27" s="1"/>
      <c r="E27" s="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0" customHeight="1">
      <c r="A28" s="12"/>
      <c r="B28" s="12"/>
      <c r="C28" s="1"/>
      <c r="D28" s="1"/>
      <c r="E28" s="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2"/>
      <c r="B29" s="12"/>
      <c r="C29" s="1"/>
      <c r="D29" s="1"/>
      <c r="E29" s="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2"/>
      <c r="B30" s="12"/>
      <c r="C30" s="1"/>
      <c r="D30" s="1"/>
      <c r="E30" s="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/>
      <c r="B31" s="12"/>
      <c r="C31" s="1"/>
      <c r="D31" s="1"/>
      <c r="E31" s="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/>
      <c r="B32" s="12"/>
      <c r="C32" s="1"/>
      <c r="D32" s="1"/>
      <c r="E32" s="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/>
      <c r="B33" s="12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12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12"/>
      <c r="C35" s="1"/>
      <c r="D35" s="1"/>
      <c r="E35" s="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2"/>
      <c r="C36" s="1"/>
      <c r="D36" s="1"/>
      <c r="E36" s="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2"/>
      <c r="C37" s="1"/>
      <c r="D37" s="1"/>
      <c r="E37" s="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2"/>
      <c r="C38" s="1"/>
      <c r="D38" s="1"/>
      <c r="E38" s="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/>
      <c r="B39" s="12"/>
      <c r="C39" s="1"/>
      <c r="D39" s="1"/>
      <c r="E39" s="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/>
      <c r="B40" s="12"/>
      <c r="C40" s="1"/>
      <c r="D40" s="1"/>
      <c r="E40" s="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/>
      <c r="B41" s="12"/>
      <c r="C41" s="1"/>
      <c r="D41" s="1"/>
      <c r="E41" s="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/>
      <c r="B42" s="12"/>
      <c r="C42" s="1"/>
      <c r="D42" s="1"/>
      <c r="E42" s="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2"/>
      <c r="C43" s="1"/>
      <c r="D43" s="1"/>
      <c r="E43" s="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2"/>
      <c r="C44" s="1"/>
      <c r="D44" s="1"/>
      <c r="E44" s="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2"/>
      <c r="C45" s="1"/>
      <c r="D45" s="1"/>
      <c r="E45" s="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2"/>
      <c r="C46" s="1"/>
      <c r="D46" s="1"/>
      <c r="E46" s="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2"/>
      <c r="C47" s="1"/>
      <c r="D47" s="1"/>
      <c r="E47" s="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2"/>
      <c r="C48" s="1"/>
      <c r="D48" s="1"/>
      <c r="E48" s="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2"/>
      <c r="C49" s="1"/>
      <c r="D49" s="1"/>
      <c r="E49" s="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2"/>
      <c r="C50" s="1"/>
      <c r="D50" s="1"/>
      <c r="E50" s="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2"/>
      <c r="C51" s="1"/>
      <c r="D51" s="1"/>
      <c r="E51" s="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2"/>
      <c r="C52" s="1"/>
      <c r="D52" s="1"/>
      <c r="E52" s="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2"/>
      <c r="C53" s="1"/>
      <c r="D53" s="1"/>
      <c r="E53" s="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2"/>
      <c r="C54" s="1"/>
      <c r="D54" s="1"/>
      <c r="E54" s="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2"/>
      <c r="C55" s="1"/>
      <c r="D55" s="1"/>
      <c r="E55" s="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2"/>
      <c r="C56" s="1"/>
      <c r="D56" s="1"/>
      <c r="E56" s="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2"/>
      <c r="C57" s="1"/>
      <c r="D57" s="1"/>
      <c r="E57" s="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2"/>
      <c r="C58" s="1"/>
      <c r="D58" s="1"/>
      <c r="E58" s="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2"/>
      <c r="C59" s="1"/>
      <c r="D59" s="1"/>
      <c r="E59" s="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2"/>
      <c r="C60" s="1"/>
      <c r="D60" s="1"/>
      <c r="E60" s="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2"/>
      <c r="C61" s="1"/>
      <c r="D61" s="1"/>
      <c r="E61" s="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2"/>
      <c r="C62" s="1"/>
      <c r="D62" s="1"/>
      <c r="E62" s="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2"/>
      <c r="C63" s="1"/>
      <c r="D63" s="1"/>
      <c r="E63" s="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2"/>
      <c r="C64" s="1"/>
      <c r="D64" s="1"/>
      <c r="E64" s="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2"/>
      <c r="C65" s="1"/>
      <c r="D65" s="1"/>
      <c r="E65" s="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2"/>
      <c r="C66" s="1"/>
      <c r="D66" s="1"/>
      <c r="E66" s="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2"/>
      <c r="C67" s="1"/>
      <c r="D67" s="1"/>
      <c r="E67" s="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2"/>
      <c r="C68" s="1"/>
      <c r="D68" s="1"/>
      <c r="E68" s="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2"/>
      <c r="C69" s="1"/>
      <c r="D69" s="1"/>
      <c r="E69" s="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2"/>
      <c r="C70" s="1"/>
      <c r="D70" s="1"/>
      <c r="E70" s="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2"/>
      <c r="C71" s="1"/>
      <c r="D71" s="1"/>
      <c r="E71" s="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2"/>
      <c r="C72" s="1"/>
      <c r="D72" s="1"/>
      <c r="E72" s="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2"/>
      <c r="C73" s="1"/>
      <c r="D73" s="1"/>
      <c r="E73" s="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2"/>
      <c r="C74" s="1"/>
      <c r="D74" s="1"/>
      <c r="E74" s="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2"/>
      <c r="C75" s="1"/>
      <c r="D75" s="1"/>
      <c r="E75" s="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2"/>
      <c r="C76" s="1"/>
      <c r="D76" s="1"/>
      <c r="E76" s="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2"/>
      <c r="C77" s="1"/>
      <c r="D77" s="1"/>
      <c r="E77" s="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2"/>
      <c r="C78" s="1"/>
      <c r="D78" s="1"/>
      <c r="E78" s="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2"/>
      <c r="C79" s="1"/>
      <c r="D79" s="1"/>
      <c r="E79" s="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2"/>
      <c r="C80" s="1"/>
      <c r="D80" s="1"/>
      <c r="E80" s="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2"/>
      <c r="C81" s="1"/>
      <c r="D81" s="1"/>
      <c r="E81" s="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2"/>
      <c r="C82" s="1"/>
      <c r="D82" s="1"/>
      <c r="E82" s="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2"/>
      <c r="C83" s="1"/>
      <c r="D83" s="1"/>
      <c r="E83" s="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2"/>
      <c r="C84" s="1"/>
      <c r="D84" s="1"/>
      <c r="E84" s="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2"/>
      <c r="C85" s="1"/>
      <c r="D85" s="1"/>
      <c r="E85" s="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2"/>
      <c r="C86" s="1"/>
      <c r="D86" s="1"/>
      <c r="E86" s="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2"/>
      <c r="C87" s="1"/>
      <c r="D87" s="1"/>
      <c r="E87" s="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2"/>
      <c r="C88" s="1"/>
      <c r="D88" s="1"/>
      <c r="E88" s="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2"/>
      <c r="C89" s="1"/>
      <c r="D89" s="1"/>
      <c r="E89" s="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2"/>
      <c r="C90" s="1"/>
      <c r="D90" s="1"/>
      <c r="E90" s="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2"/>
      <c r="C91" s="1"/>
      <c r="D91" s="1"/>
      <c r="E91" s="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2"/>
      <c r="C92" s="1"/>
      <c r="D92" s="1"/>
      <c r="E92" s="1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2"/>
      <c r="C93" s="1"/>
      <c r="D93" s="1"/>
      <c r="E93" s="1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2"/>
      <c r="C94" s="1"/>
      <c r="D94" s="1"/>
      <c r="E94" s="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2"/>
      <c r="C95" s="1"/>
      <c r="D95" s="1"/>
      <c r="E95" s="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2"/>
      <c r="C96" s="1"/>
      <c r="D96" s="1"/>
      <c r="E96" s="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2"/>
      <c r="C97" s="1"/>
      <c r="D97" s="1"/>
      <c r="E97" s="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2"/>
      <c r="C98" s="1"/>
      <c r="D98" s="1"/>
      <c r="E98" s="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2"/>
      <c r="C99" s="1"/>
      <c r="D99" s="1"/>
      <c r="E99" s="1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2"/>
      <c r="C100" s="1"/>
      <c r="D100" s="1"/>
      <c r="E100" s="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2"/>
      <c r="C101" s="1"/>
      <c r="D101" s="1"/>
      <c r="E101" s="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2"/>
      <c r="C102" s="1"/>
      <c r="D102" s="1"/>
      <c r="E102" s="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2"/>
      <c r="C103" s="1"/>
      <c r="D103" s="1"/>
      <c r="E103" s="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2"/>
      <c r="C104" s="1"/>
      <c r="D104" s="1"/>
      <c r="E104" s="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2"/>
      <c r="C105" s="1"/>
      <c r="D105" s="1"/>
      <c r="E105" s="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2"/>
      <c r="C106" s="1"/>
      <c r="D106" s="1"/>
      <c r="E106" s="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2"/>
      <c r="C107" s="1"/>
      <c r="D107" s="1"/>
      <c r="E107" s="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2"/>
      <c r="C108" s="1"/>
      <c r="D108" s="1"/>
      <c r="E108" s="1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2"/>
      <c r="C109" s="1"/>
      <c r="D109" s="1"/>
      <c r="E109" s="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2"/>
      <c r="C110" s="1"/>
      <c r="D110" s="1"/>
      <c r="E110" s="1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2"/>
      <c r="C111" s="1"/>
      <c r="D111" s="1"/>
      <c r="E111" s="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2"/>
      <c r="C112" s="1"/>
      <c r="D112" s="1"/>
      <c r="E112" s="1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2"/>
      <c r="C113" s="1"/>
      <c r="D113" s="1"/>
      <c r="E113" s="1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2"/>
      <c r="C114" s="1"/>
      <c r="D114" s="1"/>
      <c r="E114" s="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2"/>
      <c r="C115" s="1"/>
      <c r="D115" s="1"/>
      <c r="E115" s="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2"/>
      <c r="C116" s="1"/>
      <c r="D116" s="1"/>
      <c r="E116" s="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2"/>
      <c r="C117" s="1"/>
      <c r="D117" s="1"/>
      <c r="E117" s="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2"/>
      <c r="C118" s="1"/>
      <c r="D118" s="1"/>
      <c r="E118" s="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2"/>
      <c r="C119" s="1"/>
      <c r="D119" s="1"/>
      <c r="E119" s="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2"/>
      <c r="C120" s="1"/>
      <c r="D120" s="1"/>
      <c r="E120" s="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2"/>
      <c r="C121" s="1"/>
      <c r="D121" s="1"/>
      <c r="E121" s="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2"/>
      <c r="C122" s="1"/>
      <c r="D122" s="1"/>
      <c r="E122" s="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2"/>
      <c r="C123" s="1"/>
      <c r="D123" s="1"/>
      <c r="E123" s="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2"/>
      <c r="C124" s="1"/>
      <c r="D124" s="1"/>
      <c r="E124" s="1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2"/>
      <c r="C125" s="1"/>
      <c r="D125" s="1"/>
      <c r="E125" s="1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2"/>
      <c r="C126" s="1"/>
      <c r="D126" s="1"/>
      <c r="E126" s="1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2"/>
      <c r="C127" s="1"/>
      <c r="D127" s="1"/>
      <c r="E127" s="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2"/>
      <c r="C128" s="1"/>
      <c r="D128" s="1"/>
      <c r="E128" s="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2"/>
      <c r="C129" s="1"/>
      <c r="D129" s="1"/>
      <c r="E129" s="1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2"/>
      <c r="C130" s="1"/>
      <c r="D130" s="1"/>
      <c r="E130" s="1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2"/>
      <c r="C131" s="1"/>
      <c r="D131" s="1"/>
      <c r="E131" s="1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2"/>
      <c r="C132" s="1"/>
      <c r="D132" s="1"/>
      <c r="E132" s="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2"/>
      <c r="C133" s="1"/>
      <c r="D133" s="1"/>
      <c r="E133" s="1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2"/>
      <c r="C134" s="1"/>
      <c r="D134" s="1"/>
      <c r="E134" s="1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2"/>
      <c r="C135" s="1"/>
      <c r="D135" s="1"/>
      <c r="E135" s="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2"/>
      <c r="C136" s="1"/>
      <c r="D136" s="1"/>
      <c r="E136" s="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2"/>
      <c r="C137" s="1"/>
      <c r="D137" s="1"/>
      <c r="E137" s="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2"/>
      <c r="C138" s="1"/>
      <c r="D138" s="1"/>
      <c r="E138" s="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2"/>
      <c r="C139" s="1"/>
      <c r="D139" s="1"/>
      <c r="E139" s="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2"/>
      <c r="C140" s="1"/>
      <c r="D140" s="1"/>
      <c r="E140" s="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2"/>
      <c r="C141" s="1"/>
      <c r="D141" s="1"/>
      <c r="E141" s="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2"/>
      <c r="C142" s="1"/>
      <c r="D142" s="1"/>
      <c r="E142" s="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2"/>
      <c r="C143" s="1"/>
      <c r="D143" s="1"/>
      <c r="E143" s="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2"/>
      <c r="C144" s="1"/>
      <c r="D144" s="1"/>
      <c r="E144" s="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2"/>
      <c r="C145" s="1"/>
      <c r="D145" s="1"/>
      <c r="E145" s="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2"/>
      <c r="C146" s="1"/>
      <c r="D146" s="1"/>
      <c r="E146" s="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2"/>
      <c r="C147" s="1"/>
      <c r="D147" s="1"/>
      <c r="E147" s="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2"/>
      <c r="C148" s="1"/>
      <c r="D148" s="1"/>
      <c r="E148" s="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1"/>
      <c r="D149" s="1"/>
      <c r="E149" s="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1"/>
      <c r="D150" s="1"/>
      <c r="E150" s="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1"/>
      <c r="D151" s="1"/>
      <c r="E151" s="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1"/>
      <c r="D152" s="1"/>
      <c r="E152" s="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1"/>
      <c r="D153" s="1"/>
      <c r="E153" s="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1"/>
      <c r="D154" s="1"/>
      <c r="E154" s="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1"/>
      <c r="D155" s="1"/>
      <c r="E155" s="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1"/>
      <c r="D156" s="1"/>
      <c r="E156" s="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1"/>
      <c r="D157" s="1"/>
      <c r="E157" s="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1"/>
      <c r="D158" s="1"/>
      <c r="E158" s="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1"/>
      <c r="D159" s="1"/>
      <c r="E159" s="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1"/>
      <c r="D160" s="1"/>
      <c r="E160" s="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1"/>
      <c r="D161" s="1"/>
      <c r="E161" s="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1"/>
      <c r="D162" s="1"/>
      <c r="E162" s="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1"/>
      <c r="D163" s="1"/>
      <c r="E163" s="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1"/>
      <c r="D164" s="1"/>
      <c r="E164" s="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1"/>
      <c r="D165" s="1"/>
      <c r="E165" s="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1"/>
      <c r="D166" s="1"/>
      <c r="E166" s="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1"/>
      <c r="D167" s="1"/>
      <c r="E167" s="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1"/>
      <c r="D168" s="1"/>
      <c r="E168" s="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1"/>
      <c r="D169" s="1"/>
      <c r="E169" s="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1"/>
      <c r="D170" s="1"/>
      <c r="E170" s="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1"/>
      <c r="D171" s="1"/>
      <c r="E171" s="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1"/>
      <c r="D172" s="1"/>
      <c r="E172" s="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1"/>
      <c r="D173" s="1"/>
      <c r="E173" s="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1"/>
      <c r="D174" s="1"/>
      <c r="E174" s="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1"/>
      <c r="D175" s="1"/>
      <c r="E175" s="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1"/>
      <c r="D176" s="1"/>
      <c r="E176" s="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1"/>
      <c r="D177" s="1"/>
      <c r="E177" s="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2"/>
      <c r="C178" s="1"/>
      <c r="D178" s="1"/>
      <c r="E178" s="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2"/>
      <c r="C179" s="1"/>
      <c r="D179" s="1"/>
      <c r="E179" s="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2"/>
      <c r="C180" s="1"/>
      <c r="D180" s="1"/>
      <c r="E180" s="1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2"/>
      <c r="C181" s="1"/>
      <c r="D181" s="1"/>
      <c r="E181" s="1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2"/>
      <c r="C182" s="1"/>
      <c r="D182" s="1"/>
      <c r="E182" s="1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2"/>
      <c r="C183" s="1"/>
      <c r="D183" s="1"/>
      <c r="E183" s="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2"/>
      <c r="C184" s="1"/>
      <c r="D184" s="1"/>
      <c r="E184" s="1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2"/>
      <c r="C185" s="1"/>
      <c r="D185" s="1"/>
      <c r="E185" s="1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2"/>
      <c r="C186" s="1"/>
      <c r="D186" s="1"/>
      <c r="E186" s="1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2"/>
      <c r="C187" s="1"/>
      <c r="D187" s="1"/>
      <c r="E187" s="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2"/>
      <c r="C188" s="1"/>
      <c r="D188" s="1"/>
      <c r="E188" s="1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2"/>
      <c r="C189" s="1"/>
      <c r="D189" s="1"/>
      <c r="E189" s="1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2"/>
      <c r="C190" s="1"/>
      <c r="D190" s="1"/>
      <c r="E190" s="1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2"/>
      <c r="C191" s="1"/>
      <c r="D191" s="1"/>
      <c r="E191" s="1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2"/>
      <c r="C192" s="1"/>
      <c r="D192" s="1"/>
      <c r="E192" s="1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2"/>
      <c r="C193" s="1"/>
      <c r="D193" s="1"/>
      <c r="E193" s="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2"/>
      <c r="C194" s="1"/>
      <c r="D194" s="1"/>
      <c r="E194" s="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2"/>
      <c r="C195" s="1"/>
      <c r="D195" s="1"/>
      <c r="E195" s="1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2"/>
      <c r="C196" s="1"/>
      <c r="D196" s="1"/>
      <c r="E196" s="1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2"/>
      <c r="C197" s="1"/>
      <c r="D197" s="1"/>
      <c r="E197" s="1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2"/>
      <c r="C198" s="1"/>
      <c r="D198" s="1"/>
      <c r="E198" s="1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2"/>
      <c r="C199" s="1"/>
      <c r="D199" s="1"/>
      <c r="E199" s="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2"/>
      <c r="C200" s="1"/>
      <c r="D200" s="1"/>
      <c r="E200" s="1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1"/>
      <c r="D201" s="1"/>
      <c r="E201" s="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2"/>
      <c r="C202" s="1"/>
      <c r="D202" s="1"/>
      <c r="E202" s="1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1"/>
      <c r="D203" s="1"/>
      <c r="E203" s="1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2"/>
      <c r="C204" s="1"/>
      <c r="D204" s="1"/>
      <c r="E204" s="1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2"/>
      <c r="C205" s="1"/>
      <c r="D205" s="1"/>
      <c r="E205" s="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2"/>
      <c r="C206" s="1"/>
      <c r="D206" s="1"/>
      <c r="E206" s="1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2"/>
      <c r="C207" s="1"/>
      <c r="D207" s="1"/>
      <c r="E207" s="1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2"/>
      <c r="C208" s="1"/>
      <c r="D208" s="1"/>
      <c r="E208" s="1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2"/>
      <c r="C209" s="1"/>
      <c r="D209" s="1"/>
      <c r="E209" s="1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1"/>
      <c r="D210" s="1"/>
      <c r="E210" s="1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2"/>
      <c r="C211" s="1"/>
      <c r="D211" s="1"/>
      <c r="E211" s="1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2"/>
      <c r="C212" s="1"/>
      <c r="D212" s="1"/>
      <c r="E212" s="1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2"/>
      <c r="C213" s="1"/>
      <c r="D213" s="1"/>
      <c r="E213" s="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2"/>
      <c r="C214" s="1"/>
      <c r="D214" s="1"/>
      <c r="E214" s="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2"/>
      <c r="C215" s="1"/>
      <c r="D215" s="1"/>
      <c r="E215" s="1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2"/>
      <c r="C216" s="1"/>
      <c r="D216" s="1"/>
      <c r="E216" s="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2"/>
      <c r="C217" s="1"/>
      <c r="D217" s="1"/>
      <c r="E217" s="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2"/>
      <c r="C218" s="1"/>
      <c r="D218" s="1"/>
      <c r="E218" s="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2"/>
      <c r="C219" s="1"/>
      <c r="D219" s="1"/>
      <c r="E219" s="1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2"/>
      <c r="C220" s="1"/>
      <c r="D220" s="1"/>
      <c r="E220" s="1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2"/>
      <c r="C221" s="1"/>
      <c r="D221" s="1"/>
      <c r="E221" s="1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2"/>
      <c r="C222" s="1"/>
      <c r="D222" s="1"/>
      <c r="E222" s="1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1"/>
      <c r="D223" s="1"/>
      <c r="E223" s="1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1"/>
      <c r="D224" s="1"/>
      <c r="E224" s="1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E2"/>
  </mergeCells>
  <conditionalFormatting sqref="F21:I22">
    <cfRule type="cellIs" dxfId="0" priority="1" stopIfTrue="1" operator="lessThan">
      <formula>0</formula>
    </cfRule>
  </conditionalFormatting>
  <printOptions/>
  <pageMargins bottom="1.574803149606299" footer="0.0" header="0.0" left="0.7000000000000001" right="0.7000000000000001" top="1.574803149606299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0"/>
  <cols>
    <col customWidth="1" min="1" max="1" width="14.75"/>
    <col customWidth="1" min="2" max="2" width="12.38"/>
    <col customWidth="1" min="3" max="7" width="8.25"/>
    <col customWidth="1" min="8" max="15" width="8.38"/>
    <col customWidth="1" min="16" max="26" width="11.0"/>
  </cols>
  <sheetData>
    <row r="1" ht="14.25" customHeight="1">
      <c r="C1" s="110"/>
      <c r="D1" s="110" t="s">
        <v>296</v>
      </c>
      <c r="E1" s="110" t="s">
        <v>297</v>
      </c>
      <c r="F1" s="110" t="s">
        <v>298</v>
      </c>
      <c r="G1" s="110" t="s">
        <v>299</v>
      </c>
      <c r="H1" s="110" t="s">
        <v>300</v>
      </c>
      <c r="I1" s="110" t="s">
        <v>301</v>
      </c>
      <c r="J1" s="110" t="s">
        <v>302</v>
      </c>
      <c r="K1" s="110" t="s">
        <v>303</v>
      </c>
      <c r="L1" s="110" t="s">
        <v>257</v>
      </c>
      <c r="M1" s="110" t="s">
        <v>258</v>
      </c>
      <c r="N1" s="110" t="s">
        <v>259</v>
      </c>
      <c r="O1" s="110" t="s">
        <v>260</v>
      </c>
    </row>
    <row r="2" ht="14.25" customHeight="1">
      <c r="A2" s="111" t="s">
        <v>304</v>
      </c>
    </row>
    <row r="3" ht="14.25" customHeight="1">
      <c r="B3" s="110" t="s">
        <v>305</v>
      </c>
      <c r="C3" s="110" t="s">
        <v>306</v>
      </c>
      <c r="D3" s="110" t="s">
        <v>307</v>
      </c>
    </row>
    <row r="4" ht="14.25" customHeight="1">
      <c r="A4" s="110" t="s">
        <v>308</v>
      </c>
      <c r="B4" s="110">
        <v>1.0</v>
      </c>
      <c r="C4" s="110">
        <v>1892.0</v>
      </c>
      <c r="D4" s="112">
        <v>122.98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ht="14.25" customHeight="1">
      <c r="D5" s="113">
        <f>D4</f>
        <v>122.98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ht="14.25" customHeight="1">
      <c r="A6" s="110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ht="14.25" customHeight="1">
      <c r="A7" s="110" t="s">
        <v>309</v>
      </c>
      <c r="B7" s="110">
        <v>11.0</v>
      </c>
      <c r="C7" s="110">
        <v>70.0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ht="14.25" customHeight="1">
      <c r="A8" s="110" t="s">
        <v>310</v>
      </c>
      <c r="B8" s="110">
        <v>11.0</v>
      </c>
      <c r="C8" s="110">
        <v>172.0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ht="14.25" customHeight="1">
      <c r="A9" s="110" t="s">
        <v>311</v>
      </c>
      <c r="B9" s="110">
        <v>11.0</v>
      </c>
      <c r="C9" s="110">
        <v>172.0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ht="14.25" customHeight="1">
      <c r="A10" s="110" t="s">
        <v>312</v>
      </c>
      <c r="B10" s="110">
        <v>11.0</v>
      </c>
      <c r="C10" s="110">
        <v>168.0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ht="14.25" customHeight="1">
      <c r="A11" s="110" t="s">
        <v>313</v>
      </c>
      <c r="B11" s="110">
        <v>11.0</v>
      </c>
      <c r="C11" s="110">
        <v>336.0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ht="14.25" customHeight="1">
      <c r="A12" s="110" t="s">
        <v>314</v>
      </c>
      <c r="B12" s="110">
        <v>11.0</v>
      </c>
      <c r="C12" s="110">
        <v>336.0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ht="14.25" customHeight="1">
      <c r="A13" s="110" t="s">
        <v>315</v>
      </c>
      <c r="B13" s="110">
        <v>11.0</v>
      </c>
      <c r="C13" s="110">
        <v>172.0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ht="14.25" customHeight="1">
      <c r="D14" s="112"/>
      <c r="E14" s="112"/>
      <c r="F14" s="113">
        <v>247.65</v>
      </c>
      <c r="G14" s="112"/>
      <c r="H14" s="112"/>
      <c r="I14" s="112"/>
      <c r="J14" s="112"/>
      <c r="K14" s="112"/>
      <c r="L14" s="112"/>
      <c r="M14" s="112"/>
      <c r="N14" s="112"/>
      <c r="O14" s="112"/>
    </row>
    <row r="15" ht="14.25" customHeight="1"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ht="14.25" customHeight="1">
      <c r="A16" s="110" t="s">
        <v>316</v>
      </c>
      <c r="B16" s="110">
        <v>13.0</v>
      </c>
      <c r="C16" s="110">
        <v>516.0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</row>
    <row r="17" ht="14.25" customHeight="1">
      <c r="A17" s="110" t="s">
        <v>317</v>
      </c>
      <c r="B17" s="110">
        <v>13.0</v>
      </c>
      <c r="C17" s="110">
        <v>336.0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8" ht="14.25" customHeight="1">
      <c r="A18" s="110" t="s">
        <v>318</v>
      </c>
      <c r="B18" s="110">
        <v>13.0</v>
      </c>
      <c r="C18" s="110">
        <v>344.0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ht="14.25" customHeight="1">
      <c r="D19" s="112"/>
      <c r="E19" s="112"/>
      <c r="F19" s="113">
        <v>138.42</v>
      </c>
      <c r="G19" s="112"/>
      <c r="H19" s="112"/>
      <c r="I19" s="112"/>
      <c r="J19" s="112"/>
      <c r="K19" s="112"/>
      <c r="L19" s="112"/>
      <c r="M19" s="112"/>
      <c r="N19" s="112"/>
      <c r="O19" s="112"/>
    </row>
    <row r="20" ht="14.25" customHeight="1"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</row>
    <row r="21" ht="14.25" customHeight="1">
      <c r="A21" s="110" t="s">
        <v>313</v>
      </c>
      <c r="B21" s="110">
        <v>15.0</v>
      </c>
      <c r="C21" s="110">
        <v>336.0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ht="14.25" customHeight="1">
      <c r="A22" s="110" t="s">
        <v>310</v>
      </c>
      <c r="B22" s="110">
        <v>15.0</v>
      </c>
      <c r="C22" s="110">
        <v>172.0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ht="14.25" customHeight="1">
      <c r="A23" s="110" t="s">
        <v>319</v>
      </c>
      <c r="B23" s="110">
        <v>15.0</v>
      </c>
      <c r="C23" s="110">
        <v>172.0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  <row r="24" ht="14.25" customHeight="1">
      <c r="A24" s="110" t="s">
        <v>312</v>
      </c>
      <c r="B24" s="110">
        <v>15.0</v>
      </c>
      <c r="C24" s="110">
        <v>336.0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ht="14.25" customHeight="1">
      <c r="A25" s="110" t="s">
        <v>320</v>
      </c>
      <c r="B25" s="110">
        <v>15.0</v>
      </c>
      <c r="C25" s="110">
        <v>40.0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ht="14.25" customHeight="1">
      <c r="A26" s="110" t="s">
        <v>321</v>
      </c>
      <c r="B26" s="110">
        <v>15.0</v>
      </c>
      <c r="C26" s="110">
        <v>120.0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ht="14.25" customHeight="1">
      <c r="A27" s="110" t="s">
        <v>322</v>
      </c>
      <c r="B27" s="110">
        <v>15.0</v>
      </c>
      <c r="C27" s="110">
        <v>120.0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ht="14.25" customHeight="1">
      <c r="A28" s="110" t="s">
        <v>323</v>
      </c>
      <c r="B28" s="110">
        <v>15.0</v>
      </c>
      <c r="C28" s="110">
        <v>20.0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ht="14.25" customHeight="1">
      <c r="A29" s="110" t="s">
        <v>324</v>
      </c>
      <c r="B29" s="110">
        <v>15.0</v>
      </c>
      <c r="C29" s="110">
        <v>172.0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ht="14.25" customHeight="1">
      <c r="D30" s="112"/>
      <c r="E30" s="112"/>
      <c r="F30" s="112"/>
      <c r="G30" s="113">
        <v>754.03</v>
      </c>
      <c r="H30" s="112"/>
      <c r="I30" s="112"/>
      <c r="J30" s="112"/>
      <c r="K30" s="112"/>
      <c r="L30" s="112"/>
      <c r="M30" s="112"/>
      <c r="N30" s="112"/>
      <c r="O30" s="112"/>
    </row>
    <row r="31" ht="14.25" customHeight="1"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ht="14.25" customHeight="1">
      <c r="A32" s="110" t="s">
        <v>325</v>
      </c>
      <c r="B32" s="110">
        <v>17.0</v>
      </c>
      <c r="C32" s="110">
        <v>344.0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3" ht="14.25" customHeight="1">
      <c r="A33" s="110" t="s">
        <v>310</v>
      </c>
      <c r="B33" s="110">
        <v>17.0</v>
      </c>
      <c r="C33" s="110">
        <v>172.0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ht="14.25" customHeight="1">
      <c r="A34" s="110" t="s">
        <v>326</v>
      </c>
      <c r="B34" s="110">
        <v>17.0</v>
      </c>
      <c r="C34" s="110">
        <v>172.0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ht="14.25" customHeight="1">
      <c r="A35" s="110" t="s">
        <v>327</v>
      </c>
      <c r="B35" s="110">
        <v>17.0</v>
      </c>
      <c r="C35" s="110">
        <v>336.0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ht="14.25" customHeight="1">
      <c r="A36" s="110" t="s">
        <v>328</v>
      </c>
      <c r="B36" s="110">
        <v>17.0</v>
      </c>
      <c r="C36" s="110">
        <v>168.0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</row>
    <row r="37" ht="14.25" customHeight="1">
      <c r="A37" s="110" t="s">
        <v>329</v>
      </c>
      <c r="B37" s="110">
        <v>17.0</v>
      </c>
      <c r="C37" s="110">
        <v>336.0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</row>
    <row r="38" ht="14.25" customHeight="1">
      <c r="A38" s="110" t="s">
        <v>330</v>
      </c>
      <c r="B38" s="110">
        <v>17.0</v>
      </c>
      <c r="C38" s="110">
        <v>168.0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</row>
    <row r="39" ht="14.25" customHeight="1">
      <c r="A39" s="110" t="s">
        <v>331</v>
      </c>
      <c r="B39" s="110">
        <v>17.0</v>
      </c>
      <c r="C39" s="110">
        <v>1400.0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</row>
    <row r="40" ht="14.25" customHeight="1">
      <c r="A40" s="110" t="s">
        <v>332</v>
      </c>
      <c r="B40" s="110">
        <v>17.0</v>
      </c>
      <c r="C40" s="110">
        <v>560.0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ht="14.25" customHeight="1">
      <c r="A41" s="110" t="s">
        <v>333</v>
      </c>
      <c r="B41" s="110">
        <v>17.0</v>
      </c>
      <c r="C41" s="110">
        <v>60.0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ht="14.25" customHeight="1">
      <c r="A42" s="110" t="s">
        <v>334</v>
      </c>
      <c r="B42" s="110">
        <v>17.0</v>
      </c>
      <c r="C42" s="110">
        <v>220.0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ht="14.25" customHeight="1">
      <c r="A43" s="110" t="s">
        <v>324</v>
      </c>
      <c r="B43" s="110">
        <v>17.0</v>
      </c>
      <c r="C43" s="110">
        <v>860.0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ht="14.25" customHeight="1">
      <c r="D44" s="112"/>
      <c r="E44" s="112"/>
      <c r="F44" s="112"/>
      <c r="G44" s="113">
        <v>1178.75</v>
      </c>
      <c r="H44" s="112"/>
      <c r="I44" s="112"/>
      <c r="J44" s="112"/>
      <c r="K44" s="112"/>
      <c r="L44" s="112"/>
      <c r="M44" s="112"/>
      <c r="N44" s="112"/>
      <c r="O44" s="112"/>
    </row>
    <row r="45" ht="14.25" customHeight="1"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</row>
    <row r="46" ht="14.25" customHeight="1">
      <c r="A46" s="110" t="s">
        <v>310</v>
      </c>
      <c r="B46" s="110">
        <v>19.0</v>
      </c>
      <c r="C46" s="110">
        <v>172.0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ht="14.25" customHeight="1">
      <c r="A47" s="110" t="s">
        <v>319</v>
      </c>
      <c r="B47" s="110">
        <v>19.0</v>
      </c>
      <c r="C47" s="110">
        <v>172.0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</row>
    <row r="48" ht="14.25" customHeight="1">
      <c r="A48" s="110" t="s">
        <v>318</v>
      </c>
      <c r="B48" s="110">
        <v>19.0</v>
      </c>
      <c r="C48" s="110">
        <v>344.0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</row>
    <row r="49" ht="14.25" customHeight="1">
      <c r="A49" s="110" t="s">
        <v>309</v>
      </c>
      <c r="B49" s="110">
        <v>19.0</v>
      </c>
      <c r="C49" s="110">
        <v>70.0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</row>
    <row r="50" ht="14.25" customHeight="1">
      <c r="A50" s="110" t="s">
        <v>324</v>
      </c>
      <c r="B50" s="110">
        <v>19.0</v>
      </c>
      <c r="C50" s="110">
        <v>172.0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</row>
    <row r="51" ht="14.25" customHeight="1">
      <c r="D51" s="112"/>
      <c r="E51" s="112"/>
      <c r="F51" s="112"/>
      <c r="G51" s="112"/>
      <c r="H51" s="113">
        <v>178.47</v>
      </c>
      <c r="I51" s="112"/>
      <c r="J51" s="112"/>
      <c r="K51" s="112"/>
      <c r="L51" s="112"/>
      <c r="M51" s="112"/>
      <c r="N51" s="112"/>
      <c r="O51" s="112"/>
    </row>
    <row r="52" ht="14.25" customHeight="1"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</row>
    <row r="53" ht="14.25" customHeight="1">
      <c r="A53" s="110" t="s">
        <v>314</v>
      </c>
      <c r="B53" s="110">
        <v>21.0</v>
      </c>
      <c r="C53" s="110">
        <v>336.0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</row>
    <row r="54" ht="14.25" customHeight="1">
      <c r="A54" s="110" t="s">
        <v>319</v>
      </c>
      <c r="B54" s="110">
        <v>21.0</v>
      </c>
      <c r="C54" s="110">
        <v>172.0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ht="14.25" customHeight="1">
      <c r="A55" s="110" t="s">
        <v>310</v>
      </c>
      <c r="B55" s="110">
        <v>21.0</v>
      </c>
      <c r="C55" s="110">
        <v>172.0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ht="14.25" customHeight="1">
      <c r="A56" s="110" t="s">
        <v>329</v>
      </c>
      <c r="B56" s="110">
        <v>21.0</v>
      </c>
      <c r="C56" s="110">
        <v>168.0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</row>
    <row r="57" ht="14.25" customHeight="1">
      <c r="A57" s="110" t="s">
        <v>325</v>
      </c>
      <c r="B57" s="110">
        <v>21.0</v>
      </c>
      <c r="C57" s="110">
        <v>344.0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ht="14.25" customHeight="1">
      <c r="A58" s="110" t="s">
        <v>317</v>
      </c>
      <c r="B58" s="110">
        <v>21.0</v>
      </c>
      <c r="C58" s="110">
        <v>168.0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ht="14.25" customHeight="1">
      <c r="D59" s="112"/>
      <c r="E59" s="112"/>
      <c r="F59" s="112"/>
      <c r="G59" s="112"/>
      <c r="H59" s="113">
        <v>164.02</v>
      </c>
      <c r="I59" s="112"/>
      <c r="J59" s="112"/>
      <c r="K59" s="112"/>
      <c r="L59" s="112"/>
      <c r="M59" s="112"/>
      <c r="N59" s="112"/>
      <c r="O59" s="112"/>
    </row>
    <row r="60" ht="14.25" customHeight="1"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</row>
    <row r="61" ht="14.25" customHeight="1">
      <c r="A61" s="110" t="s">
        <v>311</v>
      </c>
      <c r="B61" s="110">
        <v>23.0</v>
      </c>
      <c r="C61" s="110">
        <v>172.0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</row>
    <row r="62" ht="14.25" customHeight="1">
      <c r="A62" s="110" t="s">
        <v>310</v>
      </c>
      <c r="B62" s="110">
        <v>23.0</v>
      </c>
      <c r="C62" s="110">
        <v>172.0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</row>
    <row r="63" ht="14.25" customHeight="1">
      <c r="D63" s="112"/>
      <c r="E63" s="112"/>
      <c r="F63" s="112"/>
      <c r="G63" s="112"/>
      <c r="H63" s="112"/>
      <c r="I63" s="113">
        <v>42.14</v>
      </c>
      <c r="J63" s="112"/>
      <c r="K63" s="112"/>
      <c r="L63" s="112"/>
      <c r="M63" s="112"/>
      <c r="N63" s="112"/>
      <c r="O63" s="112"/>
    </row>
    <row r="64" ht="14.25" customHeight="1"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</row>
    <row r="65" ht="14.25" customHeight="1">
      <c r="A65" s="110" t="s">
        <v>313</v>
      </c>
      <c r="B65" s="110">
        <v>25.0</v>
      </c>
      <c r="C65" s="110">
        <v>168.0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</row>
    <row r="66" ht="14.25" customHeight="1">
      <c r="A66" s="110" t="s">
        <v>310</v>
      </c>
      <c r="B66" s="110">
        <v>25.0</v>
      </c>
      <c r="C66" s="110">
        <v>172.0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</row>
    <row r="67" ht="14.25" customHeight="1">
      <c r="A67" s="110" t="s">
        <v>310</v>
      </c>
      <c r="B67" s="110">
        <v>25.0</v>
      </c>
      <c r="C67" s="110">
        <v>172.0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</row>
    <row r="68" ht="14.25" customHeight="1">
      <c r="A68" s="110" t="s">
        <v>332</v>
      </c>
      <c r="B68" s="110">
        <v>25.0</v>
      </c>
      <c r="C68" s="110">
        <v>3080.0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ht="14.25" customHeight="1">
      <c r="A69" s="110" t="s">
        <v>314</v>
      </c>
      <c r="B69" s="110">
        <v>25.0</v>
      </c>
      <c r="C69" s="110">
        <v>336.0</v>
      </c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ht="14.25" customHeight="1">
      <c r="D70" s="112"/>
      <c r="E70" s="112"/>
      <c r="F70" s="112"/>
      <c r="G70" s="112"/>
      <c r="H70" s="112"/>
      <c r="I70" s="113">
        <v>354.54</v>
      </c>
      <c r="J70" s="112"/>
      <c r="K70" s="112"/>
      <c r="L70" s="112"/>
      <c r="M70" s="112"/>
      <c r="N70" s="112"/>
      <c r="O70" s="112"/>
    </row>
    <row r="71" ht="14.25" customHeight="1"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</row>
    <row r="72" ht="14.25" customHeight="1">
      <c r="A72" s="110" t="s">
        <v>313</v>
      </c>
      <c r="B72" s="110">
        <v>27.0</v>
      </c>
      <c r="C72" s="110">
        <v>336.0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  <row r="73" ht="14.25" customHeight="1">
      <c r="A73" s="110" t="s">
        <v>310</v>
      </c>
      <c r="B73" s="110">
        <v>27.0</v>
      </c>
      <c r="C73" s="110">
        <v>172.0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</row>
    <row r="74" ht="14.25" customHeight="1">
      <c r="A74" s="110" t="s">
        <v>335</v>
      </c>
      <c r="B74" s="110">
        <v>27.0</v>
      </c>
      <c r="C74" s="110">
        <v>172.0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  <row r="75" ht="14.25" customHeight="1">
      <c r="A75" s="110" t="s">
        <v>318</v>
      </c>
      <c r="B75" s="110">
        <v>27.0</v>
      </c>
      <c r="C75" s="110">
        <v>344.0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</row>
    <row r="76" ht="14.25" customHeight="1">
      <c r="A76" s="110" t="s">
        <v>317</v>
      </c>
      <c r="B76" s="110">
        <v>27.0</v>
      </c>
      <c r="C76" s="110">
        <v>336.0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</row>
    <row r="77" ht="14.25" customHeight="1">
      <c r="A77" s="110" t="s">
        <v>315</v>
      </c>
      <c r="B77" s="110">
        <v>27.0</v>
      </c>
      <c r="C77" s="110">
        <v>172.0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</row>
    <row r="78" ht="14.25" customHeight="1">
      <c r="D78" s="112"/>
      <c r="E78" s="112"/>
      <c r="F78" s="112"/>
      <c r="G78" s="112"/>
      <c r="H78" s="112"/>
      <c r="I78" s="112"/>
      <c r="J78" s="113">
        <v>196.52</v>
      </c>
      <c r="K78" s="112"/>
      <c r="L78" s="112"/>
      <c r="M78" s="112"/>
      <c r="N78" s="112"/>
      <c r="O78" s="112"/>
    </row>
    <row r="79" ht="14.25" customHeight="1"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</row>
    <row r="80" ht="14.25" customHeight="1">
      <c r="A80" s="110" t="s">
        <v>314</v>
      </c>
      <c r="B80" s="110">
        <v>29.0</v>
      </c>
      <c r="C80" s="110">
        <v>336.0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</row>
    <row r="81" ht="14.25" customHeight="1">
      <c r="A81" s="110" t="s">
        <v>310</v>
      </c>
      <c r="B81" s="110">
        <v>29.0</v>
      </c>
      <c r="C81" s="110">
        <v>172.0</v>
      </c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</row>
    <row r="82" ht="14.25" customHeight="1">
      <c r="A82" s="110" t="s">
        <v>326</v>
      </c>
      <c r="B82" s="110">
        <v>29.0</v>
      </c>
      <c r="C82" s="110">
        <v>172.0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</row>
    <row r="83" ht="14.25" customHeight="1">
      <c r="A83" s="110" t="s">
        <v>328</v>
      </c>
      <c r="B83" s="110">
        <v>29.0</v>
      </c>
      <c r="C83" s="110">
        <v>504.0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</row>
    <row r="84" ht="14.25" customHeight="1">
      <c r="D84" s="112"/>
      <c r="E84" s="112"/>
      <c r="F84" s="112"/>
      <c r="G84" s="112"/>
      <c r="H84" s="112"/>
      <c r="I84" s="112"/>
      <c r="J84" s="113">
        <v>144.62</v>
      </c>
      <c r="K84" s="112"/>
      <c r="L84" s="112"/>
      <c r="M84" s="112"/>
      <c r="N84" s="112"/>
      <c r="O84" s="112"/>
    </row>
    <row r="85" ht="14.25" customHeight="1"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</row>
    <row r="86" ht="14.25" customHeight="1">
      <c r="A86" s="110" t="s">
        <v>313</v>
      </c>
      <c r="B86" s="110">
        <v>31.0</v>
      </c>
      <c r="C86" s="110">
        <v>336.0</v>
      </c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</row>
    <row r="87" ht="14.25" customHeight="1">
      <c r="A87" s="110" t="s">
        <v>319</v>
      </c>
      <c r="B87" s="110">
        <v>31.0</v>
      </c>
      <c r="C87" s="110">
        <v>172.0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</row>
    <row r="88" ht="14.25" customHeight="1">
      <c r="A88" s="110" t="s">
        <v>336</v>
      </c>
      <c r="B88" s="110">
        <v>31.0</v>
      </c>
      <c r="C88" s="110">
        <v>172.0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</row>
    <row r="89" ht="14.25" customHeight="1">
      <c r="A89" s="110" t="s">
        <v>310</v>
      </c>
      <c r="B89" s="110">
        <v>31.0</v>
      </c>
      <c r="C89" s="110">
        <v>172.0</v>
      </c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</row>
    <row r="90" ht="14.25" customHeight="1">
      <c r="A90" s="110" t="s">
        <v>337</v>
      </c>
      <c r="B90" s="110">
        <v>31.0</v>
      </c>
      <c r="C90" s="110">
        <v>168.0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</row>
    <row r="91" ht="14.25" customHeight="1">
      <c r="A91" s="110" t="s">
        <v>329</v>
      </c>
      <c r="B91" s="110">
        <v>31.0</v>
      </c>
      <c r="C91" s="110">
        <v>168.0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</row>
    <row r="92" ht="14.25" customHeight="1">
      <c r="D92" s="112"/>
      <c r="E92" s="112"/>
      <c r="F92" s="112"/>
      <c r="G92" s="112"/>
      <c r="H92" s="112"/>
      <c r="I92" s="112"/>
      <c r="J92" s="112"/>
      <c r="K92" s="113">
        <v>153.67</v>
      </c>
      <c r="L92" s="112"/>
      <c r="M92" s="112"/>
      <c r="N92" s="112"/>
      <c r="O92" s="112"/>
    </row>
    <row r="93" ht="14.25" customHeight="1"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</row>
    <row r="94" ht="14.25" customHeight="1">
      <c r="A94" s="110" t="s">
        <v>336</v>
      </c>
      <c r="B94" s="110">
        <v>34.0</v>
      </c>
      <c r="C94" s="110">
        <v>172.0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</row>
    <row r="95" ht="14.25" customHeight="1">
      <c r="A95" s="110" t="s">
        <v>319</v>
      </c>
      <c r="B95" s="110">
        <v>34.0</v>
      </c>
      <c r="C95" s="110">
        <v>172.0</v>
      </c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</row>
    <row r="96" ht="14.25" customHeight="1">
      <c r="A96" s="110" t="s">
        <v>310</v>
      </c>
      <c r="B96" s="110">
        <v>34.0</v>
      </c>
      <c r="C96" s="110">
        <v>172.0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</row>
    <row r="97" ht="14.25" customHeight="1">
      <c r="A97" s="110" t="s">
        <v>312</v>
      </c>
      <c r="B97" s="110">
        <v>34.0</v>
      </c>
      <c r="C97" s="110">
        <v>336.0</v>
      </c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ht="14.25" customHeight="1">
      <c r="D98" s="112"/>
      <c r="E98" s="112"/>
      <c r="F98" s="112"/>
      <c r="G98" s="112"/>
      <c r="H98" s="112"/>
      <c r="I98" s="112"/>
      <c r="J98" s="112"/>
      <c r="K98" s="113">
        <v>100.08</v>
      </c>
      <c r="L98" s="112"/>
      <c r="M98" s="112"/>
      <c r="N98" s="112"/>
      <c r="O98" s="112"/>
    </row>
    <row r="99" ht="14.25" customHeight="1"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</row>
    <row r="100" ht="14.25" customHeight="1">
      <c r="A100" s="110" t="s">
        <v>338</v>
      </c>
      <c r="B100" s="110">
        <v>42.0</v>
      </c>
      <c r="C100" s="110">
        <v>1032.0</v>
      </c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</row>
    <row r="101" ht="14.25" customHeight="1">
      <c r="A101" s="110" t="s">
        <v>339</v>
      </c>
      <c r="B101" s="110">
        <v>42.0</v>
      </c>
      <c r="C101" s="110">
        <v>860.0</v>
      </c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</row>
    <row r="102" ht="14.25" customHeight="1">
      <c r="A102" s="110" t="s">
        <v>340</v>
      </c>
      <c r="B102" s="110">
        <v>42.0</v>
      </c>
      <c r="C102" s="110">
        <v>860.0</v>
      </c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</row>
    <row r="103" ht="14.25" customHeight="1">
      <c r="A103" s="110" t="s">
        <v>341</v>
      </c>
      <c r="B103" s="110">
        <v>42.0</v>
      </c>
      <c r="C103" s="110">
        <v>1892.0</v>
      </c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</row>
    <row r="104" ht="14.25" customHeight="1">
      <c r="D104" s="112"/>
      <c r="E104" s="112"/>
      <c r="F104" s="112"/>
      <c r="G104" s="112"/>
      <c r="H104" s="112"/>
      <c r="I104" s="112"/>
      <c r="J104" s="112"/>
      <c r="K104" s="112"/>
      <c r="L104" s="112"/>
      <c r="M104" s="113">
        <v>310.46</v>
      </c>
      <c r="N104" s="112"/>
      <c r="O104" s="112"/>
    </row>
    <row r="105" ht="14.25" customHeight="1"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</row>
    <row r="106" ht="14.25" customHeight="1">
      <c r="A106" s="110" t="s">
        <v>341</v>
      </c>
      <c r="B106" s="110">
        <v>48.0</v>
      </c>
      <c r="C106" s="110">
        <v>1032.0</v>
      </c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</row>
    <row r="107" ht="14.25" customHeight="1">
      <c r="A107" s="110" t="s">
        <v>338</v>
      </c>
      <c r="B107" s="110">
        <v>48.0</v>
      </c>
      <c r="C107" s="110">
        <v>1892.0</v>
      </c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ht="14.25" customHeight="1"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>
        <v>190.06</v>
      </c>
      <c r="O108" s="112"/>
    </row>
    <row r="109" ht="14.25" customHeight="1"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</row>
    <row r="110" ht="14.25" customHeight="1">
      <c r="A110" s="111" t="s">
        <v>342</v>
      </c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ht="14.25" customHeight="1"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ht="14.25" customHeight="1">
      <c r="A112" s="110" t="s">
        <v>343</v>
      </c>
      <c r="B112" s="110" t="s">
        <v>344</v>
      </c>
      <c r="C112" s="114">
        <v>15000.0</v>
      </c>
      <c r="D112" s="112"/>
      <c r="E112" s="115">
        <v>29.0</v>
      </c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ht="14.25" customHeight="1">
      <c r="A113" s="110" t="s">
        <v>345</v>
      </c>
      <c r="B113" s="110" t="s">
        <v>344</v>
      </c>
      <c r="C113" s="116">
        <v>318.0</v>
      </c>
      <c r="D113" s="112"/>
      <c r="E113" s="115">
        <v>72.0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ht="14.25" customHeight="1">
      <c r="A114" s="110" t="s">
        <v>346</v>
      </c>
      <c r="B114" s="110" t="s">
        <v>344</v>
      </c>
      <c r="C114" s="114">
        <v>25766.0</v>
      </c>
      <c r="D114" s="112"/>
      <c r="E114" s="115">
        <v>37.0</v>
      </c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ht="14.25" customHeight="1">
      <c r="A115" s="110" t="s">
        <v>347</v>
      </c>
      <c r="B115" s="110" t="s">
        <v>344</v>
      </c>
      <c r="C115" s="114">
        <v>4103.0</v>
      </c>
      <c r="D115" s="112"/>
      <c r="E115" s="115">
        <v>80.0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ht="14.25" customHeight="1">
      <c r="A116" s="110" t="s">
        <v>348</v>
      </c>
      <c r="B116" s="110" t="s">
        <v>344</v>
      </c>
      <c r="C116" s="114">
        <v>17852.0</v>
      </c>
      <c r="D116" s="112"/>
      <c r="E116" s="115">
        <v>9.0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ht="14.25" customHeight="1">
      <c r="A117" s="110" t="s">
        <v>349</v>
      </c>
      <c r="B117" s="110" t="s">
        <v>344</v>
      </c>
      <c r="C117" s="114">
        <v>1250.0</v>
      </c>
      <c r="D117" s="112"/>
      <c r="E117" s="115">
        <v>160.0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ht="14.25" customHeight="1">
      <c r="A118" s="110" t="s">
        <v>350</v>
      </c>
      <c r="B118" s="110" t="s">
        <v>344</v>
      </c>
      <c r="C118" s="114">
        <v>32886.0</v>
      </c>
      <c r="D118" s="112"/>
      <c r="E118" s="115">
        <v>45.0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ht="14.25" customHeight="1">
      <c r="A119" s="110" t="s">
        <v>351</v>
      </c>
      <c r="B119" s="110" t="s">
        <v>344</v>
      </c>
      <c r="C119" s="116">
        <v>471.0</v>
      </c>
      <c r="D119" s="112"/>
      <c r="E119" s="115">
        <v>40.0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ht="14.25" customHeight="1">
      <c r="A120" s="110" t="s">
        <v>352</v>
      </c>
      <c r="B120" s="110" t="s">
        <v>344</v>
      </c>
      <c r="C120" s="114">
        <v>3161.0</v>
      </c>
      <c r="D120" s="112"/>
      <c r="E120" s="115">
        <v>35.0</v>
      </c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ht="14.25" customHeight="1">
      <c r="A121" s="110" t="s">
        <v>353</v>
      </c>
      <c r="B121" s="110" t="s">
        <v>344</v>
      </c>
      <c r="C121" s="114">
        <v>1482.0</v>
      </c>
      <c r="D121" s="112"/>
      <c r="E121" s="117">
        <v>34.0</v>
      </c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ht="14.25" customHeight="1">
      <c r="A122" s="110" t="s">
        <v>354</v>
      </c>
      <c r="B122" s="110" t="s">
        <v>344</v>
      </c>
      <c r="C122" s="114">
        <v>2667.0</v>
      </c>
      <c r="D122" s="112"/>
      <c r="E122" s="118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ht="14.25" customHeight="1">
      <c r="A123" s="110" t="s">
        <v>355</v>
      </c>
      <c r="B123" s="110" t="s">
        <v>344</v>
      </c>
      <c r="C123" s="114">
        <v>4445.0</v>
      </c>
      <c r="D123" s="112"/>
      <c r="E123" s="117">
        <v>23.0</v>
      </c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ht="14.25" customHeight="1">
      <c r="A124" s="110" t="s">
        <v>356</v>
      </c>
      <c r="B124" s="110" t="s">
        <v>344</v>
      </c>
      <c r="C124" s="114">
        <v>11112.0</v>
      </c>
      <c r="D124" s="112"/>
      <c r="E124" s="118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ht="14.25" customHeight="1">
      <c r="A125" s="110" t="s">
        <v>357</v>
      </c>
      <c r="B125" s="110" t="s">
        <v>344</v>
      </c>
      <c r="C125" s="116">
        <v>628.0</v>
      </c>
      <c r="D125" s="112"/>
      <c r="E125" s="115">
        <v>20.0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ht="14.25" customHeight="1">
      <c r="A126" s="110" t="s">
        <v>358</v>
      </c>
      <c r="B126" s="110" t="s">
        <v>344</v>
      </c>
      <c r="C126" s="114">
        <v>1046.0</v>
      </c>
      <c r="D126" s="112"/>
      <c r="E126" s="115">
        <v>11.0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ht="14.25" customHeight="1">
      <c r="A127" s="110" t="s">
        <v>359</v>
      </c>
      <c r="B127" s="110" t="s">
        <v>344</v>
      </c>
      <c r="C127" s="116">
        <v>472.0</v>
      </c>
      <c r="D127" s="112"/>
      <c r="E127" s="115">
        <v>13.0</v>
      </c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ht="14.25" customHeight="1">
      <c r="A128" s="110" t="s">
        <v>359</v>
      </c>
      <c r="B128" s="110" t="s">
        <v>344</v>
      </c>
      <c r="C128" s="116">
        <v>472.0</v>
      </c>
      <c r="D128" s="112"/>
      <c r="E128" s="115">
        <v>13.0</v>
      </c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ht="14.25" customHeight="1">
      <c r="A129" s="110" t="s">
        <v>359</v>
      </c>
      <c r="B129" s="110" t="s">
        <v>344</v>
      </c>
      <c r="C129" s="116">
        <v>472.0</v>
      </c>
      <c r="D129" s="112"/>
      <c r="E129" s="115">
        <v>13.0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ht="14.25" customHeight="1">
      <c r="A130" s="110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ht="14.25" customHeight="1">
      <c r="A131" s="110" t="s">
        <v>360</v>
      </c>
      <c r="B131" s="110" t="s">
        <v>344</v>
      </c>
      <c r="C131" s="114">
        <v>1250.0</v>
      </c>
      <c r="D131" s="112"/>
      <c r="E131" s="115">
        <v>30.0</v>
      </c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ht="14.25" customHeight="1">
      <c r="A132" s="110" t="s">
        <v>361</v>
      </c>
      <c r="B132" s="110" t="s">
        <v>344</v>
      </c>
      <c r="C132" s="114">
        <v>1250.0</v>
      </c>
      <c r="D132" s="112"/>
      <c r="E132" s="115">
        <v>38.0</v>
      </c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ht="14.25" customHeight="1">
      <c r="E133" s="113">
        <f>SUM(E112:E132)</f>
        <v>702</v>
      </c>
    </row>
    <row r="134" ht="14.25" customHeight="1">
      <c r="A134" s="119" t="s">
        <v>362</v>
      </c>
    </row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1811023622047245" footer="0.0" header="0.0" left="0.7000000000000001" right="0.7000000000000001" top="1.181102362204724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5"/>
    <col customWidth="1" min="2" max="53" width="10.38"/>
  </cols>
  <sheetData>
    <row r="1" ht="21.0" customHeight="1">
      <c r="A1" s="120" t="s">
        <v>363</v>
      </c>
      <c r="B1" s="121">
        <v>2020.0</v>
      </c>
      <c r="C1" s="122"/>
      <c r="D1" s="122"/>
      <c r="E1" s="123"/>
      <c r="F1" s="124">
        <v>2021.0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125">
        <v>2022.0</v>
      </c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3"/>
      <c r="AD1" s="126">
        <v>2023.0</v>
      </c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3"/>
      <c r="AP1" s="127">
        <v>2024.0</v>
      </c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3"/>
    </row>
    <row r="2" ht="21.0" customHeight="1">
      <c r="A2" s="81"/>
      <c r="B2" s="81" t="s">
        <v>257</v>
      </c>
      <c r="C2" s="81" t="s">
        <v>258</v>
      </c>
      <c r="D2" s="81" t="s">
        <v>259</v>
      </c>
      <c r="E2" s="81" t="s">
        <v>260</v>
      </c>
      <c r="F2" s="81" t="s">
        <v>296</v>
      </c>
      <c r="G2" s="81" t="s">
        <v>297</v>
      </c>
      <c r="H2" s="81" t="s">
        <v>298</v>
      </c>
      <c r="I2" s="81" t="s">
        <v>299</v>
      </c>
      <c r="J2" s="81" t="s">
        <v>300</v>
      </c>
      <c r="K2" s="81" t="s">
        <v>301</v>
      </c>
      <c r="L2" s="81" t="s">
        <v>302</v>
      </c>
      <c r="M2" s="81" t="s">
        <v>303</v>
      </c>
      <c r="N2" s="81" t="s">
        <v>257</v>
      </c>
      <c r="O2" s="81" t="s">
        <v>258</v>
      </c>
      <c r="P2" s="81" t="s">
        <v>259</v>
      </c>
      <c r="Q2" s="128" t="s">
        <v>260</v>
      </c>
      <c r="R2" s="81" t="s">
        <v>296</v>
      </c>
      <c r="S2" s="81" t="s">
        <v>297</v>
      </c>
      <c r="T2" s="81" t="s">
        <v>298</v>
      </c>
      <c r="U2" s="81" t="s">
        <v>299</v>
      </c>
      <c r="V2" s="81" t="s">
        <v>300</v>
      </c>
      <c r="W2" s="81" t="s">
        <v>301</v>
      </c>
      <c r="X2" s="81" t="s">
        <v>302</v>
      </c>
      <c r="Y2" s="81" t="s">
        <v>303</v>
      </c>
      <c r="Z2" s="81" t="s">
        <v>257</v>
      </c>
      <c r="AA2" s="81" t="s">
        <v>258</v>
      </c>
      <c r="AB2" s="81" t="s">
        <v>259</v>
      </c>
      <c r="AC2" s="128" t="s">
        <v>260</v>
      </c>
      <c r="AD2" s="81" t="s">
        <v>296</v>
      </c>
      <c r="AE2" s="81" t="s">
        <v>297</v>
      </c>
      <c r="AF2" s="81" t="s">
        <v>298</v>
      </c>
      <c r="AG2" s="81" t="s">
        <v>299</v>
      </c>
      <c r="AH2" s="81" t="s">
        <v>300</v>
      </c>
      <c r="AI2" s="81" t="s">
        <v>301</v>
      </c>
      <c r="AJ2" s="81" t="s">
        <v>302</v>
      </c>
      <c r="AK2" s="81" t="s">
        <v>303</v>
      </c>
      <c r="AL2" s="81" t="s">
        <v>257</v>
      </c>
      <c r="AM2" s="81" t="s">
        <v>258</v>
      </c>
      <c r="AN2" s="81" t="s">
        <v>259</v>
      </c>
      <c r="AO2" s="81" t="s">
        <v>260</v>
      </c>
      <c r="AP2" s="81" t="s">
        <v>296</v>
      </c>
      <c r="AQ2" s="81" t="s">
        <v>297</v>
      </c>
      <c r="AR2" s="81" t="s">
        <v>298</v>
      </c>
      <c r="AS2" s="81" t="s">
        <v>299</v>
      </c>
      <c r="AT2" s="81" t="s">
        <v>300</v>
      </c>
      <c r="AU2" s="81" t="s">
        <v>301</v>
      </c>
      <c r="AV2" s="81" t="s">
        <v>302</v>
      </c>
      <c r="AW2" s="81" t="s">
        <v>303</v>
      </c>
      <c r="AX2" s="81" t="s">
        <v>257</v>
      </c>
      <c r="AY2" s="81" t="s">
        <v>258</v>
      </c>
      <c r="AZ2" s="81" t="s">
        <v>259</v>
      </c>
      <c r="BA2" s="81" t="s">
        <v>260</v>
      </c>
    </row>
    <row r="3" ht="15.75" customHeight="1">
      <c r="A3" s="129" t="s">
        <v>364</v>
      </c>
      <c r="B3" s="130"/>
      <c r="C3" s="130"/>
      <c r="D3" s="130"/>
      <c r="E3" s="130"/>
      <c r="F3" s="130"/>
      <c r="G3" s="130"/>
      <c r="H3" s="130">
        <v>0.0</v>
      </c>
      <c r="I3" s="130">
        <v>5.0</v>
      </c>
      <c r="J3" s="130">
        <v>5.0</v>
      </c>
      <c r="K3" s="130">
        <v>10.0</v>
      </c>
      <c r="L3" s="130">
        <v>10.0</v>
      </c>
      <c r="M3" s="130">
        <v>10.0</v>
      </c>
      <c r="N3" s="130">
        <v>5.0</v>
      </c>
      <c r="O3" s="130">
        <v>5.0</v>
      </c>
      <c r="P3" s="130">
        <v>5.0</v>
      </c>
      <c r="Q3" s="130">
        <v>5.0</v>
      </c>
      <c r="R3" s="130">
        <f>Datengrundlage!$C$15</f>
        <v>0</v>
      </c>
      <c r="S3" s="130">
        <f>Datengrundlage!$C$15</f>
        <v>0</v>
      </c>
      <c r="T3" s="130">
        <v>55.0</v>
      </c>
      <c r="U3" s="130">
        <f>Datengrundlage!$C$15</f>
        <v>0</v>
      </c>
      <c r="V3" s="130">
        <f>Datengrundlage!$C$15</f>
        <v>0</v>
      </c>
      <c r="W3" s="130">
        <f>Datengrundlage!$C$15</f>
        <v>0</v>
      </c>
      <c r="X3" s="130">
        <f>Datengrundlage!$C$15</f>
        <v>0</v>
      </c>
      <c r="Y3" s="130">
        <f>Datengrundlage!$C$15</f>
        <v>0</v>
      </c>
      <c r="Z3" s="130">
        <f>Datengrundlage!$C$15</f>
        <v>0</v>
      </c>
      <c r="AA3" s="130">
        <f>Datengrundlage!$C$15</f>
        <v>0</v>
      </c>
      <c r="AB3" s="130">
        <f>Datengrundlage!$C$15</f>
        <v>0</v>
      </c>
      <c r="AC3" s="130">
        <f>Datengrundlage!$C$15</f>
        <v>0</v>
      </c>
      <c r="AD3" s="130">
        <f>Datengrundlage!$C$15</f>
        <v>0</v>
      </c>
      <c r="AE3" s="130">
        <f>Datengrundlage!$C$15</f>
        <v>0</v>
      </c>
      <c r="AF3" s="130">
        <f>Datengrundlage!$C$15</f>
        <v>0</v>
      </c>
      <c r="AG3" s="130">
        <f>Datengrundlage!$C$15</f>
        <v>0</v>
      </c>
      <c r="AH3" s="130">
        <f>Datengrundlage!$C$15</f>
        <v>0</v>
      </c>
      <c r="AI3" s="130">
        <f>Datengrundlage!$C$15</f>
        <v>0</v>
      </c>
      <c r="AJ3" s="130">
        <f>Datengrundlage!$C$15</f>
        <v>0</v>
      </c>
      <c r="AK3" s="130">
        <f>Datengrundlage!$C$15</f>
        <v>0</v>
      </c>
      <c r="AL3" s="130">
        <f>Datengrundlage!$C$15</f>
        <v>0</v>
      </c>
      <c r="AM3" s="130">
        <f>Datengrundlage!$C$15</f>
        <v>0</v>
      </c>
      <c r="AN3" s="130">
        <f>Datengrundlage!$C$15</f>
        <v>0</v>
      </c>
      <c r="AO3" s="130">
        <f>Datengrundlage!$C$15</f>
        <v>0</v>
      </c>
      <c r="AP3" s="130">
        <f>Datengrundlage!$C$15</f>
        <v>0</v>
      </c>
      <c r="AQ3" s="130">
        <f>Datengrundlage!$C$15</f>
        <v>0</v>
      </c>
      <c r="AR3" s="130">
        <f>Datengrundlage!$C$15</f>
        <v>0</v>
      </c>
      <c r="AS3" s="130">
        <f>Datengrundlage!$C$15</f>
        <v>0</v>
      </c>
      <c r="AT3" s="130">
        <f>Datengrundlage!$C$15</f>
        <v>0</v>
      </c>
      <c r="AU3" s="130">
        <f>Datengrundlage!$C$15</f>
        <v>0</v>
      </c>
      <c r="AV3" s="130">
        <f>Datengrundlage!$C$15</f>
        <v>0</v>
      </c>
      <c r="AW3" s="130">
        <f>Datengrundlage!$C$15</f>
        <v>0</v>
      </c>
      <c r="AX3" s="130">
        <f>Datengrundlage!$C$15</f>
        <v>0</v>
      </c>
      <c r="AY3" s="130">
        <f>Datengrundlage!$C$15</f>
        <v>0</v>
      </c>
      <c r="AZ3" s="130">
        <f>Datengrundlage!$C$15</f>
        <v>0</v>
      </c>
      <c r="BA3" s="130">
        <f>Datengrundlage!$C$15</f>
        <v>0</v>
      </c>
    </row>
    <row r="4" ht="15.75" customHeight="1">
      <c r="A4" s="129" t="s">
        <v>365</v>
      </c>
      <c r="B4" s="130"/>
      <c r="C4" s="130"/>
      <c r="D4" s="130"/>
      <c r="E4" s="130"/>
      <c r="F4" s="130"/>
      <c r="G4" s="130"/>
      <c r="H4" s="130">
        <v>100.0</v>
      </c>
      <c r="I4" s="130">
        <f t="shared" ref="I4:BA4" si="1">H4+I3</f>
        <v>105</v>
      </c>
      <c r="J4" s="130">
        <f t="shared" si="1"/>
        <v>110</v>
      </c>
      <c r="K4" s="130">
        <f t="shared" si="1"/>
        <v>120</v>
      </c>
      <c r="L4" s="130">
        <f t="shared" si="1"/>
        <v>130</v>
      </c>
      <c r="M4" s="130">
        <f t="shared" si="1"/>
        <v>140</v>
      </c>
      <c r="N4" s="130">
        <f t="shared" si="1"/>
        <v>145</v>
      </c>
      <c r="O4" s="130">
        <f t="shared" si="1"/>
        <v>150</v>
      </c>
      <c r="P4" s="130">
        <f t="shared" si="1"/>
        <v>155</v>
      </c>
      <c r="Q4" s="130">
        <f t="shared" si="1"/>
        <v>160</v>
      </c>
      <c r="R4" s="130">
        <f t="shared" si="1"/>
        <v>160</v>
      </c>
      <c r="S4" s="130">
        <f t="shared" si="1"/>
        <v>160</v>
      </c>
      <c r="T4" s="130">
        <f t="shared" si="1"/>
        <v>215</v>
      </c>
      <c r="U4" s="130">
        <f t="shared" si="1"/>
        <v>215</v>
      </c>
      <c r="V4" s="130">
        <f t="shared" si="1"/>
        <v>215</v>
      </c>
      <c r="W4" s="130">
        <f t="shared" si="1"/>
        <v>215</v>
      </c>
      <c r="X4" s="130">
        <f t="shared" si="1"/>
        <v>215</v>
      </c>
      <c r="Y4" s="130">
        <f t="shared" si="1"/>
        <v>215</v>
      </c>
      <c r="Z4" s="130">
        <f t="shared" si="1"/>
        <v>215</v>
      </c>
      <c r="AA4" s="130">
        <f t="shared" si="1"/>
        <v>215</v>
      </c>
      <c r="AB4" s="130">
        <f t="shared" si="1"/>
        <v>215</v>
      </c>
      <c r="AC4" s="130">
        <f t="shared" si="1"/>
        <v>215</v>
      </c>
      <c r="AD4" s="130">
        <f t="shared" si="1"/>
        <v>215</v>
      </c>
      <c r="AE4" s="130">
        <f t="shared" si="1"/>
        <v>215</v>
      </c>
      <c r="AF4" s="130">
        <f t="shared" si="1"/>
        <v>215</v>
      </c>
      <c r="AG4" s="130">
        <f t="shared" si="1"/>
        <v>215</v>
      </c>
      <c r="AH4" s="130">
        <f t="shared" si="1"/>
        <v>215</v>
      </c>
      <c r="AI4" s="130">
        <f t="shared" si="1"/>
        <v>215</v>
      </c>
      <c r="AJ4" s="130">
        <f t="shared" si="1"/>
        <v>215</v>
      </c>
      <c r="AK4" s="130">
        <f t="shared" si="1"/>
        <v>215</v>
      </c>
      <c r="AL4" s="130">
        <f t="shared" si="1"/>
        <v>215</v>
      </c>
      <c r="AM4" s="130">
        <f t="shared" si="1"/>
        <v>215</v>
      </c>
      <c r="AN4" s="130">
        <f t="shared" si="1"/>
        <v>215</v>
      </c>
      <c r="AO4" s="130">
        <f t="shared" si="1"/>
        <v>215</v>
      </c>
      <c r="AP4" s="130">
        <f t="shared" si="1"/>
        <v>215</v>
      </c>
      <c r="AQ4" s="130">
        <f t="shared" si="1"/>
        <v>215</v>
      </c>
      <c r="AR4" s="130">
        <f t="shared" si="1"/>
        <v>215</v>
      </c>
      <c r="AS4" s="130">
        <f t="shared" si="1"/>
        <v>215</v>
      </c>
      <c r="AT4" s="130">
        <f t="shared" si="1"/>
        <v>215</v>
      </c>
      <c r="AU4" s="130">
        <f t="shared" si="1"/>
        <v>215</v>
      </c>
      <c r="AV4" s="130">
        <f t="shared" si="1"/>
        <v>215</v>
      </c>
      <c r="AW4" s="130">
        <f t="shared" si="1"/>
        <v>215</v>
      </c>
      <c r="AX4" s="130">
        <f t="shared" si="1"/>
        <v>215</v>
      </c>
      <c r="AY4" s="130">
        <f t="shared" si="1"/>
        <v>215</v>
      </c>
      <c r="AZ4" s="130">
        <f t="shared" si="1"/>
        <v>215</v>
      </c>
      <c r="BA4" s="130">
        <f t="shared" si="1"/>
        <v>215</v>
      </c>
    </row>
    <row r="5" ht="15.75" customHeight="1">
      <c r="A5" s="131" t="s">
        <v>366</v>
      </c>
      <c r="B5" s="132"/>
      <c r="C5" s="132"/>
      <c r="D5" s="132"/>
      <c r="E5" s="132"/>
      <c r="F5" s="132"/>
      <c r="G5" s="130"/>
      <c r="H5" s="132">
        <f>Datengrundlage!C18</f>
        <v>72.89719626</v>
      </c>
      <c r="I5" s="132">
        <f>Datengrundlage!C18</f>
        <v>72.89719626</v>
      </c>
      <c r="J5" s="132">
        <f>Datengrundlage!C18</f>
        <v>72.89719626</v>
      </c>
      <c r="K5" s="132">
        <f t="shared" ref="K5:BA5" si="2">J5</f>
        <v>72.89719626</v>
      </c>
      <c r="L5" s="132">
        <f t="shared" si="2"/>
        <v>72.89719626</v>
      </c>
      <c r="M5" s="132">
        <f t="shared" si="2"/>
        <v>72.89719626</v>
      </c>
      <c r="N5" s="132">
        <f t="shared" si="2"/>
        <v>72.89719626</v>
      </c>
      <c r="O5" s="132">
        <f t="shared" si="2"/>
        <v>72.89719626</v>
      </c>
      <c r="P5" s="132">
        <f t="shared" si="2"/>
        <v>72.89719626</v>
      </c>
      <c r="Q5" s="132">
        <f t="shared" si="2"/>
        <v>72.89719626</v>
      </c>
      <c r="R5" s="132">
        <f t="shared" si="2"/>
        <v>72.89719626</v>
      </c>
      <c r="S5" s="132">
        <f t="shared" si="2"/>
        <v>72.89719626</v>
      </c>
      <c r="T5" s="132">
        <f t="shared" si="2"/>
        <v>72.89719626</v>
      </c>
      <c r="U5" s="132">
        <f t="shared" si="2"/>
        <v>72.89719626</v>
      </c>
      <c r="V5" s="132">
        <f t="shared" si="2"/>
        <v>72.89719626</v>
      </c>
      <c r="W5" s="132">
        <f t="shared" si="2"/>
        <v>72.89719626</v>
      </c>
      <c r="X5" s="132">
        <f t="shared" si="2"/>
        <v>72.89719626</v>
      </c>
      <c r="Y5" s="132">
        <f t="shared" si="2"/>
        <v>72.89719626</v>
      </c>
      <c r="Z5" s="132">
        <f t="shared" si="2"/>
        <v>72.89719626</v>
      </c>
      <c r="AA5" s="132">
        <f t="shared" si="2"/>
        <v>72.89719626</v>
      </c>
      <c r="AB5" s="132">
        <f t="shared" si="2"/>
        <v>72.89719626</v>
      </c>
      <c r="AC5" s="132">
        <f t="shared" si="2"/>
        <v>72.89719626</v>
      </c>
      <c r="AD5" s="132">
        <f t="shared" si="2"/>
        <v>72.89719626</v>
      </c>
      <c r="AE5" s="132">
        <f t="shared" si="2"/>
        <v>72.89719626</v>
      </c>
      <c r="AF5" s="132">
        <f t="shared" si="2"/>
        <v>72.89719626</v>
      </c>
      <c r="AG5" s="132">
        <f t="shared" si="2"/>
        <v>72.89719626</v>
      </c>
      <c r="AH5" s="132">
        <f t="shared" si="2"/>
        <v>72.89719626</v>
      </c>
      <c r="AI5" s="132">
        <f t="shared" si="2"/>
        <v>72.89719626</v>
      </c>
      <c r="AJ5" s="132">
        <f t="shared" si="2"/>
        <v>72.89719626</v>
      </c>
      <c r="AK5" s="132">
        <f t="shared" si="2"/>
        <v>72.89719626</v>
      </c>
      <c r="AL5" s="132">
        <f t="shared" si="2"/>
        <v>72.89719626</v>
      </c>
      <c r="AM5" s="132">
        <f t="shared" si="2"/>
        <v>72.89719626</v>
      </c>
      <c r="AN5" s="132">
        <f t="shared" si="2"/>
        <v>72.89719626</v>
      </c>
      <c r="AO5" s="132">
        <f t="shared" si="2"/>
        <v>72.89719626</v>
      </c>
      <c r="AP5" s="132">
        <f t="shared" si="2"/>
        <v>72.89719626</v>
      </c>
      <c r="AQ5" s="132">
        <f t="shared" si="2"/>
        <v>72.89719626</v>
      </c>
      <c r="AR5" s="132">
        <f t="shared" si="2"/>
        <v>72.89719626</v>
      </c>
      <c r="AS5" s="132">
        <f t="shared" si="2"/>
        <v>72.89719626</v>
      </c>
      <c r="AT5" s="132">
        <f t="shared" si="2"/>
        <v>72.89719626</v>
      </c>
      <c r="AU5" s="132">
        <f t="shared" si="2"/>
        <v>72.89719626</v>
      </c>
      <c r="AV5" s="132">
        <f t="shared" si="2"/>
        <v>72.89719626</v>
      </c>
      <c r="AW5" s="132">
        <f t="shared" si="2"/>
        <v>72.89719626</v>
      </c>
      <c r="AX5" s="132">
        <f t="shared" si="2"/>
        <v>72.89719626</v>
      </c>
      <c r="AY5" s="132">
        <f t="shared" si="2"/>
        <v>72.89719626</v>
      </c>
      <c r="AZ5" s="132">
        <f t="shared" si="2"/>
        <v>72.89719626</v>
      </c>
      <c r="BA5" s="132">
        <f t="shared" si="2"/>
        <v>72.89719626</v>
      </c>
    </row>
    <row r="6" ht="15.75" customHeight="1">
      <c r="A6" s="133" t="s">
        <v>367</v>
      </c>
      <c r="B6" s="11"/>
      <c r="C6" s="11"/>
      <c r="D6" s="11"/>
      <c r="E6" s="11"/>
      <c r="F6" s="11"/>
      <c r="G6" s="130"/>
      <c r="H6" s="11">
        <f t="shared" ref="H6:BA6" si="3">H5*H4</f>
        <v>7289.719626</v>
      </c>
      <c r="I6" s="11">
        <f t="shared" si="3"/>
        <v>7654.205607</v>
      </c>
      <c r="J6" s="11">
        <f t="shared" si="3"/>
        <v>8018.691589</v>
      </c>
      <c r="K6" s="11">
        <f t="shared" si="3"/>
        <v>8747.663551</v>
      </c>
      <c r="L6" s="11">
        <f t="shared" si="3"/>
        <v>9476.635514</v>
      </c>
      <c r="M6" s="11">
        <f t="shared" si="3"/>
        <v>10205.60748</v>
      </c>
      <c r="N6" s="11">
        <f t="shared" si="3"/>
        <v>10570.09346</v>
      </c>
      <c r="O6" s="11">
        <f t="shared" si="3"/>
        <v>10934.57944</v>
      </c>
      <c r="P6" s="11">
        <f t="shared" si="3"/>
        <v>11299.06542</v>
      </c>
      <c r="Q6" s="134">
        <f t="shared" si="3"/>
        <v>11663.5514</v>
      </c>
      <c r="R6" s="11">
        <f t="shared" si="3"/>
        <v>11663.5514</v>
      </c>
      <c r="S6" s="11">
        <f t="shared" si="3"/>
        <v>11663.5514</v>
      </c>
      <c r="T6" s="11">
        <f t="shared" si="3"/>
        <v>15672.8972</v>
      </c>
      <c r="U6" s="11">
        <f t="shared" si="3"/>
        <v>15672.8972</v>
      </c>
      <c r="V6" s="11">
        <f t="shared" si="3"/>
        <v>15672.8972</v>
      </c>
      <c r="W6" s="11">
        <f t="shared" si="3"/>
        <v>15672.8972</v>
      </c>
      <c r="X6" s="11">
        <f t="shared" si="3"/>
        <v>15672.8972</v>
      </c>
      <c r="Y6" s="11">
        <f t="shared" si="3"/>
        <v>15672.8972</v>
      </c>
      <c r="Z6" s="11">
        <f t="shared" si="3"/>
        <v>15672.8972</v>
      </c>
      <c r="AA6" s="11">
        <f t="shared" si="3"/>
        <v>15672.8972</v>
      </c>
      <c r="AB6" s="11">
        <f t="shared" si="3"/>
        <v>15672.8972</v>
      </c>
      <c r="AC6" s="134">
        <f t="shared" si="3"/>
        <v>15672.8972</v>
      </c>
      <c r="AD6" s="11">
        <f t="shared" si="3"/>
        <v>15672.8972</v>
      </c>
      <c r="AE6" s="11">
        <f t="shared" si="3"/>
        <v>15672.8972</v>
      </c>
      <c r="AF6" s="11">
        <f t="shared" si="3"/>
        <v>15672.8972</v>
      </c>
      <c r="AG6" s="11">
        <f t="shared" si="3"/>
        <v>15672.8972</v>
      </c>
      <c r="AH6" s="11">
        <f t="shared" si="3"/>
        <v>15672.8972</v>
      </c>
      <c r="AI6" s="11">
        <f t="shared" si="3"/>
        <v>15672.8972</v>
      </c>
      <c r="AJ6" s="11">
        <f t="shared" si="3"/>
        <v>15672.8972</v>
      </c>
      <c r="AK6" s="11">
        <f t="shared" si="3"/>
        <v>15672.8972</v>
      </c>
      <c r="AL6" s="11">
        <f t="shared" si="3"/>
        <v>15672.8972</v>
      </c>
      <c r="AM6" s="11">
        <f t="shared" si="3"/>
        <v>15672.8972</v>
      </c>
      <c r="AN6" s="11">
        <f t="shared" si="3"/>
        <v>15672.8972</v>
      </c>
      <c r="AO6" s="11">
        <f t="shared" si="3"/>
        <v>15672.8972</v>
      </c>
      <c r="AP6" s="11">
        <f t="shared" si="3"/>
        <v>15672.8972</v>
      </c>
      <c r="AQ6" s="11">
        <f t="shared" si="3"/>
        <v>15672.8972</v>
      </c>
      <c r="AR6" s="11">
        <f t="shared" si="3"/>
        <v>15672.8972</v>
      </c>
      <c r="AS6" s="11">
        <f t="shared" si="3"/>
        <v>15672.8972</v>
      </c>
      <c r="AT6" s="11">
        <f t="shared" si="3"/>
        <v>15672.8972</v>
      </c>
      <c r="AU6" s="11">
        <f t="shared" si="3"/>
        <v>15672.8972</v>
      </c>
      <c r="AV6" s="11">
        <f t="shared" si="3"/>
        <v>15672.8972</v>
      </c>
      <c r="AW6" s="11">
        <f t="shared" si="3"/>
        <v>15672.8972</v>
      </c>
      <c r="AX6" s="11">
        <f t="shared" si="3"/>
        <v>15672.8972</v>
      </c>
      <c r="AY6" s="11">
        <f t="shared" si="3"/>
        <v>15672.8972</v>
      </c>
      <c r="AZ6" s="11">
        <f t="shared" si="3"/>
        <v>15672.8972</v>
      </c>
      <c r="BA6" s="11">
        <f t="shared" si="3"/>
        <v>15672.8972</v>
      </c>
    </row>
    <row r="7" ht="15.75" customHeight="1">
      <c r="A7" s="12"/>
      <c r="B7" s="130"/>
      <c r="C7" s="130"/>
      <c r="D7" s="130"/>
      <c r="E7" s="130"/>
      <c r="F7" s="130"/>
      <c r="G7" s="130"/>
      <c r="H7" s="130"/>
      <c r="I7" s="130"/>
      <c r="J7" s="12"/>
      <c r="K7" s="130"/>
      <c r="L7" s="130"/>
      <c r="M7" s="130"/>
      <c r="N7" s="130"/>
      <c r="O7" s="130"/>
      <c r="P7" s="130"/>
      <c r="Q7" s="135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5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</row>
    <row r="8" ht="15.75" customHeight="1">
      <c r="A8" s="129" t="s">
        <v>368</v>
      </c>
      <c r="B8" s="130"/>
      <c r="C8" s="130"/>
      <c r="D8" s="130"/>
      <c r="E8" s="130"/>
      <c r="F8" s="130"/>
      <c r="G8" s="130"/>
      <c r="H8" s="130"/>
      <c r="I8" s="130"/>
      <c r="J8" s="1"/>
      <c r="K8" s="130">
        <f>J8+Datengrundlage!$C$21</f>
        <v>0</v>
      </c>
      <c r="L8" s="130">
        <f>K8+Datengrundlage!$C$21</f>
        <v>0</v>
      </c>
      <c r="M8" s="130">
        <f>L8+Datengrundlage!$C$21</f>
        <v>0</v>
      </c>
      <c r="N8" s="130">
        <f>M8+Datengrundlage!$C$21</f>
        <v>0</v>
      </c>
      <c r="O8" s="130">
        <f>N8+Datengrundlage!$C$21</f>
        <v>0</v>
      </c>
      <c r="P8" s="130">
        <f>O8+Datengrundlage!$C$21</f>
        <v>0</v>
      </c>
      <c r="Q8" s="135">
        <f>P8+Datengrundlage!$C$21</f>
        <v>0</v>
      </c>
      <c r="R8" s="130">
        <f>Q8+Datengrundlage!$C$21</f>
        <v>0</v>
      </c>
      <c r="S8" s="130">
        <f>R8+Datengrundlage!$C$21</f>
        <v>0</v>
      </c>
      <c r="T8" s="130">
        <f>S8+Datengrundlage!$C$21</f>
        <v>0</v>
      </c>
      <c r="U8" s="130">
        <f>T8+Datengrundlage!$C$21</f>
        <v>0</v>
      </c>
      <c r="V8" s="130">
        <f>U8+Datengrundlage!$C$21</f>
        <v>0</v>
      </c>
      <c r="W8" s="130">
        <f>V8+Datengrundlage!$C$21</f>
        <v>0</v>
      </c>
      <c r="X8" s="130">
        <f>W8+Datengrundlage!$C$21</f>
        <v>0</v>
      </c>
      <c r="Y8" s="130">
        <f>X8+Datengrundlage!$C$21</f>
        <v>0</v>
      </c>
      <c r="Z8" s="130">
        <f>Y8+Datengrundlage!$C$21</f>
        <v>0</v>
      </c>
      <c r="AA8" s="130">
        <f>Z8+Datengrundlage!$C$21</f>
        <v>0</v>
      </c>
      <c r="AB8" s="130">
        <f>AA8+Datengrundlage!$C$21</f>
        <v>0</v>
      </c>
      <c r="AC8" s="135">
        <f>AB8+Datengrundlage!$C$21</f>
        <v>0</v>
      </c>
      <c r="AD8" s="130">
        <f>AC8+Datengrundlage!$C$21</f>
        <v>0</v>
      </c>
      <c r="AE8" s="130">
        <f>AD8+Datengrundlage!$C$21</f>
        <v>0</v>
      </c>
      <c r="AF8" s="130">
        <f>AE8+Datengrundlage!$C$21</f>
        <v>0</v>
      </c>
      <c r="AG8" s="130">
        <f>AF8+Datengrundlage!$C$21</f>
        <v>0</v>
      </c>
      <c r="AH8" s="130">
        <f>AG8+Datengrundlage!$C$21</f>
        <v>0</v>
      </c>
      <c r="AI8" s="130">
        <f>AH8+Datengrundlage!$C$21</f>
        <v>0</v>
      </c>
      <c r="AJ8" s="130">
        <f>AI8+Datengrundlage!$C$21</f>
        <v>0</v>
      </c>
      <c r="AK8" s="130">
        <f>AJ8+Datengrundlage!$C$21</f>
        <v>0</v>
      </c>
      <c r="AL8" s="130">
        <f>AK8+Datengrundlage!$C$21</f>
        <v>0</v>
      </c>
      <c r="AM8" s="130">
        <f>AL8+Datengrundlage!$C$21</f>
        <v>0</v>
      </c>
      <c r="AN8" s="130">
        <f>AM8+Datengrundlage!$C$21</f>
        <v>0</v>
      </c>
      <c r="AO8" s="130">
        <f>AN8+Datengrundlage!$C$21</f>
        <v>0</v>
      </c>
      <c r="AP8" s="130">
        <f>AO8+Datengrundlage!$C$21</f>
        <v>0</v>
      </c>
      <c r="AQ8" s="130">
        <f>AP8+Datengrundlage!$C$21</f>
        <v>0</v>
      </c>
      <c r="AR8" s="130">
        <f>AQ8+Datengrundlage!$C$21</f>
        <v>0</v>
      </c>
      <c r="AS8" s="130">
        <f>AR8+Datengrundlage!$C$21</f>
        <v>0</v>
      </c>
      <c r="AT8" s="130">
        <f>AS8+Datengrundlage!$C$21</f>
        <v>0</v>
      </c>
      <c r="AU8" s="130">
        <f>AT8+Datengrundlage!$C$21</f>
        <v>0</v>
      </c>
      <c r="AV8" s="130">
        <f>AU8+Datengrundlage!$C$21</f>
        <v>0</v>
      </c>
      <c r="AW8" s="130">
        <f>AV8+Datengrundlage!$C$21</f>
        <v>0</v>
      </c>
      <c r="AX8" s="130">
        <f>AW8+Datengrundlage!$C$21</f>
        <v>0</v>
      </c>
      <c r="AY8" s="130">
        <f>AX8+Datengrundlage!$C$21</f>
        <v>0</v>
      </c>
      <c r="AZ8" s="130">
        <f>AY8+Datengrundlage!$C$21</f>
        <v>0</v>
      </c>
      <c r="BA8" s="130">
        <f>AZ8+Datengrundlage!$C$21</f>
        <v>0</v>
      </c>
    </row>
    <row r="9" ht="15.75" customHeight="1">
      <c r="A9" s="129" t="s">
        <v>369</v>
      </c>
      <c r="B9" s="130"/>
      <c r="C9" s="11"/>
      <c r="D9" s="11"/>
      <c r="E9" s="11"/>
      <c r="F9" s="11"/>
      <c r="G9" s="130"/>
      <c r="H9" s="11"/>
      <c r="I9" s="11"/>
      <c r="J9" s="40" t="str">
        <f>Datengrundlage!$C$26</f>
        <v/>
      </c>
      <c r="K9" s="11">
        <f>J9*(1+Datengrundlage!$C$27/100)</f>
        <v>0</v>
      </c>
      <c r="L9" s="11">
        <f>K9*(1+Datengrundlage!$C$27/100)</f>
        <v>0</v>
      </c>
      <c r="M9" s="11">
        <f>L9*(1+Datengrundlage!$C$27/100)</f>
        <v>0</v>
      </c>
      <c r="N9" s="11">
        <f>M9*(1+Datengrundlage!$C$27/100)</f>
        <v>0</v>
      </c>
      <c r="O9" s="11">
        <f>N9*(1+Datengrundlage!$C$27/100)</f>
        <v>0</v>
      </c>
      <c r="P9" s="11">
        <f>O9*(1+Datengrundlage!$C$27/100)</f>
        <v>0</v>
      </c>
      <c r="Q9" s="134">
        <f>P9*(1+Datengrundlage!$C$27/100)</f>
        <v>0</v>
      </c>
      <c r="R9" s="11">
        <f>Q9*(1+Datengrundlage!$C$27/100)</f>
        <v>0</v>
      </c>
      <c r="S9" s="11">
        <f>R9*(1+Datengrundlage!$C$27/100)</f>
        <v>0</v>
      </c>
      <c r="T9" s="11">
        <f>S9*(1+Datengrundlage!$C$27/100)</f>
        <v>0</v>
      </c>
      <c r="U9" s="11">
        <f>T9*(1+Datengrundlage!$C$27/100)</f>
        <v>0</v>
      </c>
      <c r="V9" s="11">
        <f>U9*(1+Datengrundlage!$C$27/100)</f>
        <v>0</v>
      </c>
      <c r="W9" s="11">
        <f>V9*(1+Datengrundlage!$C$27/100)</f>
        <v>0</v>
      </c>
      <c r="X9" s="11">
        <f>W9*(1+Datengrundlage!$C$27/100)</f>
        <v>0</v>
      </c>
      <c r="Y9" s="11">
        <f>X9*(1+Datengrundlage!$C$27/100)</f>
        <v>0</v>
      </c>
      <c r="Z9" s="11">
        <f>Y9*(1+Datengrundlage!$C$27/100)</f>
        <v>0</v>
      </c>
      <c r="AA9" s="11">
        <f>Z9*(1+Datengrundlage!$C$27/100)</f>
        <v>0</v>
      </c>
      <c r="AB9" s="11">
        <f>AA9*(1+Datengrundlage!$C$27/100)</f>
        <v>0</v>
      </c>
      <c r="AC9" s="134">
        <f>AB9*(1+Datengrundlage!$C$27/100)</f>
        <v>0</v>
      </c>
      <c r="AD9" s="11">
        <f>AC9*(1+Datengrundlage!$C$27/100)</f>
        <v>0</v>
      </c>
      <c r="AE9" s="11">
        <f>AD9*(1+Datengrundlage!$C$27/100)</f>
        <v>0</v>
      </c>
      <c r="AF9" s="11">
        <f>AE9*(1+Datengrundlage!$C$27/100)</f>
        <v>0</v>
      </c>
      <c r="AG9" s="11">
        <f>AF9*(1+Datengrundlage!$C$27/100)</f>
        <v>0</v>
      </c>
      <c r="AH9" s="11">
        <f>AG9*(1+Datengrundlage!$C$27/100)</f>
        <v>0</v>
      </c>
      <c r="AI9" s="11">
        <f>AH9*(1+Datengrundlage!$C$27/100)</f>
        <v>0</v>
      </c>
      <c r="AJ9" s="11">
        <f>AI9*(1+Datengrundlage!$C$27/100)</f>
        <v>0</v>
      </c>
      <c r="AK9" s="11">
        <f>AJ9*(1+Datengrundlage!$C$27/100)</f>
        <v>0</v>
      </c>
      <c r="AL9" s="11">
        <f>AK9*(1+Datengrundlage!$C$27/100)</f>
        <v>0</v>
      </c>
      <c r="AM9" s="11">
        <f>AL9*(1+Datengrundlage!$C$27/100)</f>
        <v>0</v>
      </c>
      <c r="AN9" s="11">
        <f>AM9*(1+Datengrundlage!$C$27/100)</f>
        <v>0</v>
      </c>
      <c r="AO9" s="11">
        <f>AN9*(1+Datengrundlage!$C$27/100)</f>
        <v>0</v>
      </c>
      <c r="AP9" s="11">
        <f>AO9*(1+Datengrundlage!$C$27/100)</f>
        <v>0</v>
      </c>
      <c r="AQ9" s="11">
        <f>AP9*(1+Datengrundlage!$C$27/100)</f>
        <v>0</v>
      </c>
      <c r="AR9" s="11">
        <f>AQ9*(1+Datengrundlage!$C$27/100)</f>
        <v>0</v>
      </c>
      <c r="AS9" s="11">
        <f>AR9*(1+Datengrundlage!$C$27/100)</f>
        <v>0</v>
      </c>
      <c r="AT9" s="11">
        <f>AS9*(1+Datengrundlage!$C$27/100)</f>
        <v>0</v>
      </c>
      <c r="AU9" s="11">
        <f>AT9*(1+Datengrundlage!$C$27/100)</f>
        <v>0</v>
      </c>
      <c r="AV9" s="11">
        <f>AU9*(1+Datengrundlage!$C$27/100)</f>
        <v>0</v>
      </c>
      <c r="AW9" s="11">
        <f>AV9*(1+Datengrundlage!$C$27/100)</f>
        <v>0</v>
      </c>
      <c r="AX9" s="11">
        <f>AW9*(1+Datengrundlage!$C$27/100)</f>
        <v>0</v>
      </c>
      <c r="AY9" s="11">
        <f>AX9*(1+Datengrundlage!$C$27/100)</f>
        <v>0</v>
      </c>
      <c r="AZ9" s="11">
        <f>AY9*(1+Datengrundlage!$C$27/100)</f>
        <v>0</v>
      </c>
      <c r="BA9" s="11">
        <f>AZ9*(1+Datengrundlage!$C$27/100)</f>
        <v>0</v>
      </c>
    </row>
    <row r="10" ht="15.75" customHeight="1">
      <c r="A10" s="129" t="s">
        <v>367</v>
      </c>
      <c r="B10" s="130"/>
      <c r="C10" s="11"/>
      <c r="D10" s="11"/>
      <c r="E10" s="11"/>
      <c r="F10" s="11"/>
      <c r="G10" s="130"/>
      <c r="H10" s="11"/>
      <c r="I10" s="11"/>
      <c r="J10" s="40">
        <f t="shared" ref="J10:BA10" si="4">J9*J8</f>
        <v>0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34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34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>
        <f t="shared" si="4"/>
        <v>0</v>
      </c>
    </row>
    <row r="11" ht="15.75" customHeight="1">
      <c r="A11" s="12"/>
      <c r="B11" s="130"/>
      <c r="C11" s="130"/>
      <c r="D11" s="130"/>
      <c r="E11" s="130"/>
      <c r="F11" s="130"/>
      <c r="G11" s="130"/>
      <c r="H11" s="130"/>
      <c r="I11" s="130"/>
      <c r="J11" s="12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</row>
    <row r="12" ht="15.75" customHeight="1">
      <c r="A12" s="12"/>
      <c r="B12" s="130"/>
      <c r="C12" s="130"/>
      <c r="D12" s="130"/>
      <c r="E12" s="130"/>
      <c r="F12" s="130"/>
      <c r="G12" s="130"/>
      <c r="H12" s="130"/>
      <c r="I12" s="130"/>
      <c r="J12" s="12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</row>
    <row r="13" ht="15.75" customHeight="1">
      <c r="A13" s="12"/>
      <c r="B13" s="130"/>
      <c r="C13" s="130"/>
      <c r="D13" s="130"/>
      <c r="E13" s="130"/>
      <c r="F13" s="130"/>
      <c r="G13" s="130"/>
      <c r="H13" s="130"/>
      <c r="I13" s="130"/>
      <c r="J13" s="12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</row>
    <row r="14" ht="15.75" customHeight="1">
      <c r="A14" s="12"/>
      <c r="B14" s="130"/>
      <c r="C14" s="130"/>
      <c r="D14" s="130"/>
      <c r="E14" s="130"/>
      <c r="F14" s="130"/>
      <c r="G14" s="130"/>
      <c r="H14" s="130"/>
      <c r="I14" s="130"/>
      <c r="J14" s="12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</row>
    <row r="15" ht="15.75" customHeight="1">
      <c r="A15" s="12"/>
      <c r="B15" s="130"/>
      <c r="C15" s="130"/>
      <c r="D15" s="130"/>
      <c r="E15" s="130"/>
      <c r="F15" s="130"/>
      <c r="G15" s="130"/>
      <c r="H15" s="130"/>
      <c r="I15" s="130"/>
      <c r="J15" s="12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</row>
    <row r="16" ht="15.75" customHeight="1">
      <c r="A16" s="12"/>
      <c r="B16" s="130"/>
      <c r="C16" s="130"/>
      <c r="D16" s="130"/>
      <c r="E16" s="130"/>
      <c r="F16" s="130"/>
      <c r="G16" s="130"/>
      <c r="H16" s="130"/>
      <c r="I16" s="130"/>
      <c r="J16" s="12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</row>
    <row r="17" ht="15.75" customHeight="1">
      <c r="A17" s="12"/>
      <c r="B17" s="130"/>
      <c r="C17" s="130"/>
      <c r="D17" s="130"/>
      <c r="E17" s="130"/>
      <c r="F17" s="130"/>
      <c r="G17" s="130"/>
      <c r="H17" s="130"/>
      <c r="I17" s="130"/>
      <c r="J17" s="12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ht="15.75" customHeight="1">
      <c r="A18" s="12"/>
      <c r="B18" s="130"/>
      <c r="C18" s="130"/>
      <c r="D18" s="130"/>
      <c r="E18" s="130"/>
      <c r="F18" s="130"/>
      <c r="G18" s="130"/>
      <c r="H18" s="130"/>
      <c r="I18" s="130"/>
      <c r="J18" s="12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</row>
    <row r="19" ht="15.75" customHeight="1">
      <c r="A19" s="12"/>
      <c r="B19" s="130"/>
      <c r="C19" s="130"/>
      <c r="D19" s="130"/>
      <c r="E19" s="130"/>
      <c r="F19" s="130"/>
      <c r="G19" s="130"/>
      <c r="H19" s="130"/>
      <c r="I19" s="130"/>
      <c r="J19" s="12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</row>
    <row r="20" ht="15.75" customHeight="1">
      <c r="A20" s="1"/>
      <c r="B20" s="130"/>
      <c r="C20" s="130"/>
      <c r="D20" s="130"/>
      <c r="E20" s="130"/>
      <c r="F20" s="130"/>
      <c r="G20" s="130"/>
      <c r="H20" s="130"/>
      <c r="I20" s="130"/>
      <c r="J20" s="12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ht="15.75" customHeight="1">
      <c r="A21" s="1"/>
      <c r="B21" s="130"/>
      <c r="C21" s="130"/>
      <c r="D21" s="130"/>
      <c r="E21" s="130"/>
      <c r="F21" s="130"/>
      <c r="G21" s="130"/>
      <c r="H21" s="130"/>
      <c r="I21" s="130"/>
      <c r="J21" s="12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ht="15.75" customHeight="1">
      <c r="A22" s="1"/>
      <c r="B22" s="130"/>
      <c r="C22" s="130"/>
      <c r="D22" s="130"/>
      <c r="E22" s="130"/>
      <c r="F22" s="130"/>
      <c r="G22" s="130"/>
      <c r="H22" s="130"/>
      <c r="I22" s="130"/>
      <c r="J22" s="12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ht="15.75" customHeight="1">
      <c r="A23" s="1"/>
      <c r="B23" s="130"/>
      <c r="C23" s="130"/>
      <c r="D23" s="130"/>
      <c r="E23" s="130"/>
      <c r="F23" s="130"/>
      <c r="G23" s="130"/>
      <c r="H23" s="130"/>
      <c r="I23" s="130"/>
      <c r="J23" s="12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ht="15.75" customHeight="1">
      <c r="A24" s="1"/>
      <c r="B24" s="130"/>
      <c r="C24" s="130"/>
      <c r="D24" s="130"/>
      <c r="E24" s="130"/>
      <c r="F24" s="130"/>
      <c r="G24" s="130"/>
      <c r="H24" s="130"/>
      <c r="I24" s="130"/>
      <c r="J24" s="12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</row>
    <row r="25" ht="15.75" customHeight="1">
      <c r="A25" s="1"/>
      <c r="B25" s="130"/>
      <c r="C25" s="130"/>
      <c r="D25" s="130"/>
      <c r="E25" s="130"/>
      <c r="F25" s="130"/>
      <c r="G25" s="130"/>
      <c r="H25" s="130"/>
      <c r="I25" s="130"/>
      <c r="J25" s="12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</row>
    <row r="26" ht="15.75" customHeight="1">
      <c r="A26" s="1"/>
      <c r="B26" s="130"/>
      <c r="C26" s="130"/>
      <c r="D26" s="130"/>
      <c r="E26" s="130"/>
      <c r="F26" s="130"/>
      <c r="G26" s="130"/>
      <c r="H26" s="130"/>
      <c r="I26" s="130"/>
      <c r="J26" s="12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</row>
    <row r="27" ht="15.75" customHeight="1">
      <c r="A27" s="12"/>
      <c r="B27" s="130"/>
      <c r="C27" s="130"/>
      <c r="D27" s="130"/>
      <c r="E27" s="130"/>
      <c r="F27" s="130"/>
      <c r="G27" s="130"/>
      <c r="H27" s="130"/>
      <c r="I27" s="130"/>
      <c r="J27" s="12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</row>
    <row r="28" ht="15.75" customHeight="1">
      <c r="A28" s="12"/>
      <c r="B28" s="130"/>
      <c r="C28" s="130"/>
      <c r="D28" s="130"/>
      <c r="E28" s="130"/>
      <c r="F28" s="130"/>
      <c r="G28" s="130"/>
      <c r="H28" s="130"/>
      <c r="I28" s="130"/>
      <c r="J28" s="12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</row>
    <row r="29" ht="15.75" customHeight="1">
      <c r="A29" s="12"/>
      <c r="B29" s="130"/>
      <c r="C29" s="130"/>
      <c r="D29" s="130"/>
      <c r="E29" s="130"/>
      <c r="F29" s="130"/>
      <c r="G29" s="130"/>
      <c r="H29" s="130"/>
      <c r="I29" s="130"/>
      <c r="J29" s="12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</row>
    <row r="30" ht="15.75" customHeight="1">
      <c r="A30" s="12"/>
      <c r="B30" s="136"/>
      <c r="C30" s="136"/>
      <c r="D30" s="136"/>
      <c r="E30" s="130"/>
      <c r="F30" s="130"/>
      <c r="G30" s="130"/>
      <c r="H30" s="130"/>
      <c r="I30" s="130"/>
      <c r="J30" s="12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</row>
    <row r="31" ht="15.75" customHeight="1">
      <c r="A31" s="12"/>
      <c r="B31" s="136"/>
      <c r="C31" s="136"/>
      <c r="D31" s="136"/>
      <c r="E31" s="130"/>
      <c r="F31" s="130"/>
      <c r="G31" s="130"/>
      <c r="H31" s="130"/>
      <c r="I31" s="130"/>
      <c r="J31" s="12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</row>
    <row r="32" ht="15.75" customHeight="1">
      <c r="A32" s="12"/>
      <c r="B32" s="136"/>
      <c r="C32" s="136"/>
      <c r="D32" s="136"/>
      <c r="E32" s="130"/>
      <c r="F32" s="130"/>
      <c r="G32" s="130"/>
      <c r="H32" s="130"/>
      <c r="I32" s="130"/>
      <c r="J32" s="12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</row>
    <row r="33" ht="15.75" customHeight="1">
      <c r="A33" s="12"/>
      <c r="B33" s="130"/>
      <c r="C33" s="130"/>
      <c r="D33" s="130"/>
      <c r="E33" s="130"/>
      <c r="F33" s="130"/>
      <c r="G33" s="130"/>
      <c r="H33" s="130"/>
      <c r="I33" s="130"/>
      <c r="J33" s="12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</row>
    <row r="34" ht="15.75" customHeight="1">
      <c r="A34" s="12"/>
      <c r="B34" s="130"/>
      <c r="C34" s="130"/>
      <c r="D34" s="130"/>
      <c r="E34" s="130"/>
      <c r="F34" s="130"/>
      <c r="G34" s="130"/>
      <c r="H34" s="130"/>
      <c r="I34" s="130"/>
      <c r="J34" s="12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</row>
    <row r="35" ht="15.75" customHeight="1">
      <c r="A35" s="12"/>
      <c r="B35" s="130"/>
      <c r="C35" s="130"/>
      <c r="D35" s="130"/>
      <c r="E35" s="130"/>
      <c r="F35" s="130"/>
      <c r="G35" s="130"/>
      <c r="H35" s="130"/>
      <c r="I35" s="130"/>
      <c r="J35" s="12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</row>
    <row r="36" ht="15.75" customHeight="1">
      <c r="A36" s="12"/>
      <c r="B36" s="130"/>
      <c r="C36" s="130"/>
      <c r="D36" s="130"/>
      <c r="E36" s="130"/>
      <c r="F36" s="130"/>
      <c r="G36" s="130"/>
      <c r="H36" s="130"/>
      <c r="I36" s="130"/>
      <c r="J36" s="12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</row>
    <row r="37" ht="15.75" customHeight="1">
      <c r="A37" s="12"/>
      <c r="B37" s="130"/>
      <c r="C37" s="130"/>
      <c r="D37" s="130"/>
      <c r="E37" s="130"/>
      <c r="F37" s="130"/>
      <c r="G37" s="130"/>
      <c r="H37" s="130"/>
      <c r="I37" s="130"/>
      <c r="J37" s="12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</row>
    <row r="38" ht="15.75" customHeight="1">
      <c r="A38" s="12"/>
      <c r="B38" s="130"/>
      <c r="C38" s="130"/>
      <c r="D38" s="130"/>
      <c r="E38" s="130"/>
      <c r="F38" s="130"/>
      <c r="G38" s="130"/>
      <c r="H38" s="130"/>
      <c r="I38" s="130"/>
      <c r="J38" s="12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</row>
    <row r="39" ht="15.75" customHeight="1">
      <c r="A39" s="12"/>
      <c r="B39" s="130"/>
      <c r="C39" s="130"/>
      <c r="D39" s="130"/>
      <c r="E39" s="130"/>
      <c r="F39" s="130"/>
      <c r="G39" s="130"/>
      <c r="H39" s="130"/>
      <c r="I39" s="130"/>
      <c r="J39" s="12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</row>
    <row r="40" ht="15.75" customHeight="1">
      <c r="A40" s="12"/>
      <c r="B40" s="130"/>
      <c r="C40" s="130"/>
      <c r="D40" s="130"/>
      <c r="E40" s="130"/>
      <c r="F40" s="130"/>
      <c r="G40" s="130"/>
      <c r="H40" s="130"/>
      <c r="I40" s="130"/>
      <c r="J40" s="12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</row>
    <row r="41" ht="15.75" customHeight="1">
      <c r="A41" s="12"/>
      <c r="B41" s="130"/>
      <c r="C41" s="130"/>
      <c r="D41" s="130"/>
      <c r="E41" s="130"/>
      <c r="F41" s="130"/>
      <c r="G41" s="130"/>
      <c r="H41" s="130"/>
      <c r="I41" s="130"/>
      <c r="J41" s="12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</row>
    <row r="42" ht="15.75" customHeight="1">
      <c r="A42" s="12"/>
      <c r="B42" s="130"/>
      <c r="C42" s="130"/>
      <c r="D42" s="130"/>
      <c r="E42" s="130"/>
      <c r="F42" s="130"/>
      <c r="G42" s="130"/>
      <c r="H42" s="130"/>
      <c r="I42" s="130"/>
      <c r="J42" s="12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</row>
    <row r="43" ht="15.75" customHeight="1">
      <c r="A43" s="12"/>
      <c r="B43" s="130"/>
      <c r="C43" s="130"/>
      <c r="D43" s="130"/>
      <c r="E43" s="130"/>
      <c r="F43" s="130"/>
      <c r="G43" s="130"/>
      <c r="H43" s="130"/>
      <c r="I43" s="130"/>
      <c r="J43" s="12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</row>
    <row r="44" ht="15.75" customHeight="1">
      <c r="A44" s="12"/>
      <c r="B44" s="130"/>
      <c r="C44" s="130"/>
      <c r="D44" s="130"/>
      <c r="E44" s="130"/>
      <c r="F44" s="130"/>
      <c r="G44" s="130"/>
      <c r="H44" s="130"/>
      <c r="I44" s="130"/>
      <c r="J44" s="12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</row>
    <row r="45" ht="15.75" customHeight="1">
      <c r="A45" s="12"/>
      <c r="B45" s="130"/>
      <c r="C45" s="130"/>
      <c r="D45" s="130"/>
      <c r="E45" s="130"/>
      <c r="F45" s="130"/>
      <c r="G45" s="130"/>
      <c r="H45" s="130"/>
      <c r="I45" s="130"/>
      <c r="J45" s="12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</row>
    <row r="46" ht="15.75" customHeight="1">
      <c r="A46" s="12"/>
      <c r="B46" s="130"/>
      <c r="C46" s="130"/>
      <c r="D46" s="130"/>
      <c r="E46" s="130"/>
      <c r="F46" s="130"/>
      <c r="G46" s="130"/>
      <c r="H46" s="130"/>
      <c r="I46" s="130"/>
      <c r="J46" s="12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</row>
    <row r="47" ht="15.75" customHeight="1">
      <c r="A47" s="12"/>
      <c r="B47" s="130"/>
      <c r="C47" s="130"/>
      <c r="D47" s="130"/>
      <c r="E47" s="130"/>
      <c r="F47" s="130"/>
      <c r="G47" s="130"/>
      <c r="H47" s="130"/>
      <c r="I47" s="130"/>
      <c r="J47" s="12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</row>
    <row r="48" ht="15.75" customHeight="1">
      <c r="A48" s="12"/>
      <c r="B48" s="130"/>
      <c r="C48" s="130"/>
      <c r="D48" s="130"/>
      <c r="E48" s="130"/>
      <c r="F48" s="130"/>
      <c r="G48" s="130"/>
      <c r="H48" s="130"/>
      <c r="I48" s="130"/>
      <c r="J48" s="12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</row>
    <row r="49" ht="15.75" customHeight="1">
      <c r="A49" s="12"/>
      <c r="B49" s="130"/>
      <c r="C49" s="130"/>
      <c r="D49" s="130"/>
      <c r="E49" s="130"/>
      <c r="F49" s="130"/>
      <c r="G49" s="130"/>
      <c r="H49" s="130"/>
      <c r="I49" s="130"/>
      <c r="J49" s="12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</row>
    <row r="50" ht="15.75" customHeight="1">
      <c r="A50" s="12"/>
      <c r="B50" s="130"/>
      <c r="C50" s="130"/>
      <c r="D50" s="130"/>
      <c r="E50" s="130"/>
      <c r="F50" s="130"/>
      <c r="G50" s="130"/>
      <c r="H50" s="130"/>
      <c r="I50" s="130"/>
      <c r="J50" s="12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</row>
    <row r="51" ht="15.75" customHeight="1">
      <c r="A51" s="12"/>
      <c r="B51" s="130"/>
      <c r="C51" s="130"/>
      <c r="D51" s="130"/>
      <c r="E51" s="130"/>
      <c r="F51" s="130"/>
      <c r="G51" s="130"/>
      <c r="H51" s="130"/>
      <c r="I51" s="130"/>
      <c r="J51" s="12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</row>
    <row r="52" ht="15.75" customHeight="1">
      <c r="A52" s="12"/>
      <c r="B52" s="130"/>
      <c r="C52" s="130"/>
      <c r="D52" s="130"/>
      <c r="E52" s="130"/>
      <c r="F52" s="130"/>
      <c r="G52" s="130"/>
      <c r="H52" s="130"/>
      <c r="I52" s="130"/>
      <c r="J52" s="12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</row>
    <row r="53" ht="15.75" customHeight="1">
      <c r="A53" s="12"/>
      <c r="B53" s="130"/>
      <c r="C53" s="130"/>
      <c r="D53" s="130"/>
      <c r="E53" s="130"/>
      <c r="F53" s="130"/>
      <c r="G53" s="130"/>
      <c r="H53" s="130"/>
      <c r="I53" s="130"/>
      <c r="J53" s="12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</row>
    <row r="54" ht="15.75" customHeight="1">
      <c r="A54" s="12"/>
      <c r="B54" s="130"/>
      <c r="C54" s="130"/>
      <c r="D54" s="130"/>
      <c r="E54" s="130"/>
      <c r="F54" s="130"/>
      <c r="G54" s="130"/>
      <c r="H54" s="130"/>
      <c r="I54" s="130"/>
      <c r="J54" s="12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</row>
    <row r="55" ht="15.75" customHeight="1">
      <c r="A55" s="12"/>
      <c r="B55" s="130"/>
      <c r="C55" s="130"/>
      <c r="D55" s="130"/>
      <c r="E55" s="130"/>
      <c r="F55" s="130"/>
      <c r="G55" s="130"/>
      <c r="H55" s="130"/>
      <c r="I55" s="130"/>
      <c r="J55" s="12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</row>
    <row r="56" ht="15.75" customHeight="1">
      <c r="A56" s="12"/>
      <c r="B56" s="130"/>
      <c r="C56" s="130"/>
      <c r="D56" s="130"/>
      <c r="E56" s="130"/>
      <c r="F56" s="130"/>
      <c r="G56" s="130"/>
      <c r="H56" s="130"/>
      <c r="I56" s="130"/>
      <c r="J56" s="12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</row>
    <row r="57" ht="15.75" customHeight="1">
      <c r="A57" s="12"/>
      <c r="B57" s="130"/>
      <c r="C57" s="130"/>
      <c r="D57" s="130"/>
      <c r="E57" s="130"/>
      <c r="F57" s="130"/>
      <c r="G57" s="130"/>
      <c r="H57" s="130"/>
      <c r="I57" s="130"/>
      <c r="J57" s="12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</row>
    <row r="58" ht="15.75" customHeight="1">
      <c r="A58" s="12"/>
      <c r="B58" s="130"/>
      <c r="C58" s="130"/>
      <c r="D58" s="130"/>
      <c r="E58" s="130"/>
      <c r="F58" s="130"/>
      <c r="G58" s="130"/>
      <c r="H58" s="130"/>
      <c r="I58" s="130"/>
      <c r="J58" s="12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</row>
    <row r="59" ht="15.75" customHeight="1">
      <c r="A59" s="12"/>
      <c r="B59" s="130"/>
      <c r="C59" s="130"/>
      <c r="D59" s="130"/>
      <c r="E59" s="130"/>
      <c r="F59" s="130"/>
      <c r="G59" s="130"/>
      <c r="H59" s="130"/>
      <c r="I59" s="130"/>
      <c r="J59" s="12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</row>
    <row r="60" ht="15.75" customHeight="1">
      <c r="A60" s="12"/>
      <c r="B60" s="130"/>
      <c r="C60" s="130"/>
      <c r="D60" s="130"/>
      <c r="E60" s="130"/>
      <c r="F60" s="130"/>
      <c r="G60" s="130"/>
      <c r="H60" s="130"/>
      <c r="I60" s="130"/>
      <c r="J60" s="12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</row>
    <row r="61" ht="15.75" customHeight="1">
      <c r="A61" s="12"/>
      <c r="B61" s="130"/>
      <c r="C61" s="130"/>
      <c r="D61" s="130"/>
      <c r="E61" s="130"/>
      <c r="F61" s="130"/>
      <c r="G61" s="130"/>
      <c r="H61" s="130"/>
      <c r="I61" s="130"/>
      <c r="J61" s="12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</row>
    <row r="62" ht="15.75" customHeight="1">
      <c r="A62" s="12"/>
      <c r="B62" s="130"/>
      <c r="C62" s="130"/>
      <c r="D62" s="130"/>
      <c r="E62" s="130"/>
      <c r="F62" s="130"/>
      <c r="G62" s="130"/>
      <c r="H62" s="130"/>
      <c r="I62" s="130"/>
      <c r="J62" s="12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</row>
    <row r="63" ht="15.75" customHeight="1">
      <c r="A63" s="12"/>
      <c r="B63" s="130"/>
      <c r="C63" s="130"/>
      <c r="D63" s="130"/>
      <c r="E63" s="130"/>
      <c r="F63" s="130"/>
      <c r="G63" s="130"/>
      <c r="H63" s="130"/>
      <c r="I63" s="130"/>
      <c r="J63" s="12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</row>
    <row r="64" ht="15.75" customHeight="1">
      <c r="A64" s="12"/>
      <c r="B64" s="130"/>
      <c r="C64" s="130"/>
      <c r="D64" s="130"/>
      <c r="E64" s="130"/>
      <c r="F64" s="130"/>
      <c r="G64" s="130"/>
      <c r="H64" s="130"/>
      <c r="I64" s="130"/>
      <c r="J64" s="12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</row>
    <row r="65" ht="15.75" customHeight="1">
      <c r="A65" s="12"/>
      <c r="B65" s="130"/>
      <c r="C65" s="130"/>
      <c r="D65" s="130"/>
      <c r="E65" s="130"/>
      <c r="F65" s="130"/>
      <c r="G65" s="130"/>
      <c r="H65" s="130"/>
      <c r="I65" s="130"/>
      <c r="J65" s="12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</row>
    <row r="66" ht="15.75" customHeight="1">
      <c r="A66" s="12"/>
      <c r="B66" s="130"/>
      <c r="C66" s="130"/>
      <c r="D66" s="130"/>
      <c r="E66" s="130"/>
      <c r="F66" s="130"/>
      <c r="G66" s="130"/>
      <c r="H66" s="130"/>
      <c r="I66" s="130"/>
      <c r="J66" s="12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</row>
    <row r="67" ht="15.75" customHeight="1">
      <c r="A67" s="12"/>
      <c r="B67" s="130"/>
      <c r="C67" s="130"/>
      <c r="D67" s="130"/>
      <c r="E67" s="130"/>
      <c r="F67" s="130"/>
      <c r="G67" s="130"/>
      <c r="H67" s="130"/>
      <c r="I67" s="130"/>
      <c r="J67" s="12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</row>
    <row r="68" ht="15.75" customHeight="1">
      <c r="A68" s="12"/>
      <c r="B68" s="130"/>
      <c r="C68" s="130"/>
      <c r="D68" s="130"/>
      <c r="E68" s="130"/>
      <c r="F68" s="130"/>
      <c r="G68" s="130"/>
      <c r="H68" s="130"/>
      <c r="I68" s="130"/>
      <c r="J68" s="12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</row>
    <row r="69" ht="15.75" customHeight="1">
      <c r="A69" s="12"/>
      <c r="B69" s="130"/>
      <c r="C69" s="130"/>
      <c r="D69" s="130"/>
      <c r="E69" s="130"/>
      <c r="F69" s="130"/>
      <c r="G69" s="130"/>
      <c r="H69" s="130"/>
      <c r="I69" s="130"/>
      <c r="J69" s="12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</row>
    <row r="70" ht="15.75" customHeight="1">
      <c r="A70" s="12"/>
      <c r="B70" s="130"/>
      <c r="C70" s="130"/>
      <c r="D70" s="130"/>
      <c r="E70" s="130"/>
      <c r="F70" s="130"/>
      <c r="G70" s="130"/>
      <c r="H70" s="130"/>
      <c r="I70" s="130"/>
      <c r="J70" s="12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</row>
    <row r="71" ht="15.75" customHeight="1">
      <c r="A71" s="12"/>
      <c r="B71" s="130"/>
      <c r="C71" s="130"/>
      <c r="D71" s="130"/>
      <c r="E71" s="130"/>
      <c r="F71" s="130"/>
      <c r="G71" s="130"/>
      <c r="H71" s="130"/>
      <c r="I71" s="130"/>
      <c r="J71" s="12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</row>
    <row r="72" ht="15.75" customHeight="1">
      <c r="A72" s="12"/>
      <c r="B72" s="130"/>
      <c r="C72" s="130"/>
      <c r="D72" s="130"/>
      <c r="E72" s="130"/>
      <c r="F72" s="130"/>
      <c r="G72" s="130"/>
      <c r="H72" s="130"/>
      <c r="I72" s="130"/>
      <c r="J72" s="12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</row>
    <row r="73" ht="15.75" customHeight="1">
      <c r="A73" s="12"/>
      <c r="B73" s="130"/>
      <c r="C73" s="130"/>
      <c r="D73" s="130"/>
      <c r="E73" s="130"/>
      <c r="F73" s="130"/>
      <c r="G73" s="130"/>
      <c r="H73" s="130"/>
      <c r="I73" s="130"/>
      <c r="J73" s="12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</row>
    <row r="74" ht="15.75" customHeight="1">
      <c r="A74" s="12"/>
      <c r="B74" s="130"/>
      <c r="C74" s="130"/>
      <c r="D74" s="130"/>
      <c r="E74" s="130"/>
      <c r="F74" s="130"/>
      <c r="G74" s="130"/>
      <c r="H74" s="130"/>
      <c r="I74" s="130"/>
      <c r="J74" s="12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</row>
    <row r="75" ht="15.75" customHeight="1">
      <c r="A75" s="12"/>
      <c r="B75" s="130"/>
      <c r="C75" s="130"/>
      <c r="D75" s="130"/>
      <c r="E75" s="130"/>
      <c r="F75" s="130"/>
      <c r="G75" s="130"/>
      <c r="H75" s="130"/>
      <c r="I75" s="130"/>
      <c r="J75" s="12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</row>
    <row r="76" ht="15.75" customHeight="1">
      <c r="A76" s="12"/>
      <c r="B76" s="130"/>
      <c r="C76" s="130"/>
      <c r="D76" s="130"/>
      <c r="E76" s="130"/>
      <c r="F76" s="130"/>
      <c r="G76" s="130"/>
      <c r="H76" s="130"/>
      <c r="I76" s="130"/>
      <c r="J76" s="12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</row>
    <row r="77" ht="15.75" customHeight="1">
      <c r="A77" s="12"/>
      <c r="B77" s="130"/>
      <c r="C77" s="130"/>
      <c r="D77" s="130"/>
      <c r="E77" s="130"/>
      <c r="F77" s="130"/>
      <c r="G77" s="130"/>
      <c r="H77" s="130"/>
      <c r="I77" s="130"/>
      <c r="J77" s="12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</row>
    <row r="78" ht="15.75" customHeight="1">
      <c r="A78" s="12"/>
      <c r="B78" s="130"/>
      <c r="C78" s="130"/>
      <c r="D78" s="130"/>
      <c r="E78" s="130"/>
      <c r="F78" s="130"/>
      <c r="G78" s="130"/>
      <c r="H78" s="130"/>
      <c r="I78" s="130"/>
      <c r="J78" s="12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</row>
    <row r="79" ht="15.75" customHeight="1">
      <c r="A79" s="12"/>
      <c r="B79" s="130"/>
      <c r="C79" s="130"/>
      <c r="D79" s="130"/>
      <c r="E79" s="130"/>
      <c r="F79" s="130"/>
      <c r="G79" s="130"/>
      <c r="H79" s="130"/>
      <c r="I79" s="130"/>
      <c r="J79" s="12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</row>
    <row r="80" ht="15.75" customHeight="1">
      <c r="A80" s="12"/>
      <c r="B80" s="130"/>
      <c r="C80" s="130"/>
      <c r="D80" s="130"/>
      <c r="E80" s="130"/>
      <c r="F80" s="130"/>
      <c r="G80" s="130"/>
      <c r="H80" s="130"/>
      <c r="I80" s="130"/>
      <c r="J80" s="12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</row>
    <row r="81" ht="15.75" customHeight="1">
      <c r="A81" s="12"/>
      <c r="B81" s="130"/>
      <c r="C81" s="130"/>
      <c r="D81" s="130"/>
      <c r="E81" s="130"/>
      <c r="F81" s="130"/>
      <c r="G81" s="130"/>
      <c r="H81" s="130"/>
      <c r="I81" s="130"/>
      <c r="J81" s="12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</row>
    <row r="82" ht="15.75" customHeight="1">
      <c r="A82" s="12"/>
      <c r="B82" s="130"/>
      <c r="C82" s="130"/>
      <c r="D82" s="130"/>
      <c r="E82" s="130"/>
      <c r="F82" s="130"/>
      <c r="G82" s="130"/>
      <c r="H82" s="130"/>
      <c r="I82" s="130"/>
      <c r="J82" s="12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</row>
    <row r="83" ht="15.75" customHeight="1">
      <c r="A83" s="12"/>
      <c r="B83" s="130"/>
      <c r="C83" s="130"/>
      <c r="D83" s="130"/>
      <c r="E83" s="130"/>
      <c r="F83" s="130"/>
      <c r="G83" s="130"/>
      <c r="H83" s="130"/>
      <c r="I83" s="130"/>
      <c r="J83" s="12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</row>
    <row r="84" ht="15.75" customHeight="1">
      <c r="A84" s="12"/>
      <c r="B84" s="130"/>
      <c r="C84" s="130"/>
      <c r="D84" s="130"/>
      <c r="E84" s="130"/>
      <c r="F84" s="130"/>
      <c r="G84" s="130"/>
      <c r="H84" s="130"/>
      <c r="I84" s="130"/>
      <c r="J84" s="12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</row>
    <row r="85" ht="15.75" customHeight="1">
      <c r="A85" s="12"/>
      <c r="B85" s="130"/>
      <c r="C85" s="130"/>
      <c r="D85" s="130"/>
      <c r="E85" s="130"/>
      <c r="F85" s="130"/>
      <c r="G85" s="130"/>
      <c r="H85" s="130"/>
      <c r="I85" s="130"/>
      <c r="J85" s="12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</row>
    <row r="86" ht="15.75" customHeight="1">
      <c r="A86" s="12"/>
      <c r="B86" s="130"/>
      <c r="C86" s="130"/>
      <c r="D86" s="130"/>
      <c r="E86" s="130"/>
      <c r="F86" s="130"/>
      <c r="G86" s="130"/>
      <c r="H86" s="130"/>
      <c r="I86" s="130"/>
      <c r="J86" s="12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</row>
    <row r="87" ht="15.75" customHeight="1">
      <c r="A87" s="12"/>
      <c r="B87" s="130"/>
      <c r="C87" s="130"/>
      <c r="D87" s="130"/>
      <c r="E87" s="130"/>
      <c r="F87" s="130"/>
      <c r="G87" s="130"/>
      <c r="H87" s="130"/>
      <c r="I87" s="130"/>
      <c r="J87" s="12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</row>
    <row r="88" ht="15.75" customHeight="1">
      <c r="A88" s="12"/>
      <c r="B88" s="130"/>
      <c r="C88" s="130"/>
      <c r="D88" s="130"/>
      <c r="E88" s="130"/>
      <c r="F88" s="130"/>
      <c r="G88" s="130"/>
      <c r="H88" s="130"/>
      <c r="I88" s="130"/>
      <c r="J88" s="12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</row>
    <row r="89" ht="15.75" customHeight="1">
      <c r="A89" s="12"/>
      <c r="B89" s="130"/>
      <c r="C89" s="130"/>
      <c r="D89" s="130"/>
      <c r="E89" s="130"/>
      <c r="F89" s="130"/>
      <c r="G89" s="130"/>
      <c r="H89" s="130"/>
      <c r="I89" s="130"/>
      <c r="J89" s="12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</row>
    <row r="90" ht="15.75" customHeight="1">
      <c r="A90" s="12"/>
      <c r="B90" s="130"/>
      <c r="C90" s="130"/>
      <c r="D90" s="130"/>
      <c r="E90" s="130"/>
      <c r="F90" s="130"/>
      <c r="G90" s="130"/>
      <c r="H90" s="130"/>
      <c r="I90" s="130"/>
      <c r="J90" s="12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</row>
    <row r="91" ht="15.75" customHeight="1">
      <c r="A91" s="12"/>
      <c r="B91" s="130"/>
      <c r="C91" s="130"/>
      <c r="D91" s="130"/>
      <c r="E91" s="130"/>
      <c r="F91" s="130"/>
      <c r="G91" s="130"/>
      <c r="H91" s="130"/>
      <c r="I91" s="130"/>
      <c r="J91" s="12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</row>
    <row r="92" ht="15.75" customHeight="1">
      <c r="A92" s="12"/>
      <c r="B92" s="130"/>
      <c r="C92" s="130"/>
      <c r="D92" s="130"/>
      <c r="E92" s="130"/>
      <c r="F92" s="130"/>
      <c r="G92" s="130"/>
      <c r="H92" s="130"/>
      <c r="I92" s="130"/>
      <c r="J92" s="12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</row>
    <row r="93" ht="15.75" customHeight="1">
      <c r="A93" s="12"/>
      <c r="B93" s="130"/>
      <c r="C93" s="130"/>
      <c r="D93" s="130"/>
      <c r="E93" s="130"/>
      <c r="F93" s="130"/>
      <c r="G93" s="130"/>
      <c r="H93" s="130"/>
      <c r="I93" s="130"/>
      <c r="J93" s="12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</row>
    <row r="94" ht="15.75" customHeight="1">
      <c r="A94" s="12"/>
      <c r="B94" s="130"/>
      <c r="C94" s="130"/>
      <c r="D94" s="130"/>
      <c r="E94" s="130"/>
      <c r="F94" s="130"/>
      <c r="G94" s="130"/>
      <c r="H94" s="130"/>
      <c r="I94" s="130"/>
      <c r="J94" s="12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</row>
    <row r="95" ht="15.75" customHeight="1">
      <c r="A95" s="12"/>
      <c r="B95" s="130"/>
      <c r="C95" s="130"/>
      <c r="D95" s="130"/>
      <c r="E95" s="130"/>
      <c r="F95" s="130"/>
      <c r="G95" s="130"/>
      <c r="H95" s="130"/>
      <c r="I95" s="130"/>
      <c r="J95" s="12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</row>
    <row r="96" ht="15.75" customHeight="1">
      <c r="A96" s="12"/>
      <c r="B96" s="130"/>
      <c r="C96" s="130"/>
      <c r="D96" s="130"/>
      <c r="E96" s="130"/>
      <c r="F96" s="130"/>
      <c r="G96" s="130"/>
      <c r="H96" s="130"/>
      <c r="I96" s="130"/>
      <c r="J96" s="12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</row>
    <row r="97" ht="15.75" customHeight="1">
      <c r="A97" s="12"/>
      <c r="B97" s="130"/>
      <c r="C97" s="130"/>
      <c r="D97" s="130"/>
      <c r="E97" s="130"/>
      <c r="F97" s="130"/>
      <c r="G97" s="130"/>
      <c r="H97" s="130"/>
      <c r="I97" s="130"/>
      <c r="J97" s="12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</row>
    <row r="98" ht="15.75" customHeight="1">
      <c r="A98" s="12"/>
      <c r="B98" s="130"/>
      <c r="C98" s="130"/>
      <c r="D98" s="130"/>
      <c r="E98" s="130"/>
      <c r="F98" s="130"/>
      <c r="G98" s="130"/>
      <c r="H98" s="130"/>
      <c r="I98" s="130"/>
      <c r="J98" s="12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</row>
    <row r="99" ht="15.75" customHeight="1">
      <c r="A99" s="12"/>
      <c r="B99" s="130"/>
      <c r="C99" s="130"/>
      <c r="D99" s="130"/>
      <c r="E99" s="130"/>
      <c r="F99" s="130"/>
      <c r="G99" s="130"/>
      <c r="H99" s="130"/>
      <c r="I99" s="130"/>
      <c r="J99" s="12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</row>
    <row r="100" ht="15.75" customHeight="1">
      <c r="A100" s="12"/>
      <c r="B100" s="130"/>
      <c r="C100" s="130"/>
      <c r="D100" s="130"/>
      <c r="E100" s="130"/>
      <c r="F100" s="130"/>
      <c r="G100" s="130"/>
      <c r="H100" s="130"/>
      <c r="I100" s="130"/>
      <c r="J100" s="12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</row>
    <row r="101" ht="15.75" customHeight="1">
      <c r="A101" s="12"/>
      <c r="B101" s="130"/>
      <c r="C101" s="130"/>
      <c r="D101" s="130"/>
      <c r="E101" s="130"/>
      <c r="F101" s="130"/>
      <c r="G101" s="130"/>
      <c r="H101" s="130"/>
      <c r="I101" s="130"/>
      <c r="J101" s="12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</row>
    <row r="102" ht="15.75" customHeight="1">
      <c r="A102" s="12"/>
      <c r="B102" s="130"/>
      <c r="C102" s="130"/>
      <c r="D102" s="130"/>
      <c r="E102" s="130"/>
      <c r="F102" s="130"/>
      <c r="G102" s="130"/>
      <c r="H102" s="130"/>
      <c r="I102" s="130"/>
      <c r="J102" s="12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</row>
    <row r="103" ht="15.75" customHeight="1">
      <c r="A103" s="12"/>
      <c r="B103" s="130"/>
      <c r="C103" s="130"/>
      <c r="D103" s="130"/>
      <c r="E103" s="130"/>
      <c r="F103" s="130"/>
      <c r="G103" s="130"/>
      <c r="H103" s="130"/>
      <c r="I103" s="130"/>
      <c r="J103" s="12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</row>
    <row r="104" ht="15.75" customHeight="1">
      <c r="A104" s="12"/>
      <c r="B104" s="130"/>
      <c r="C104" s="130"/>
      <c r="D104" s="130"/>
      <c r="E104" s="130"/>
      <c r="F104" s="130"/>
      <c r="G104" s="130"/>
      <c r="H104" s="130"/>
      <c r="I104" s="130"/>
      <c r="J104" s="12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</row>
    <row r="105" ht="15.75" customHeight="1">
      <c r="A105" s="12"/>
      <c r="B105" s="130"/>
      <c r="C105" s="130"/>
      <c r="D105" s="130"/>
      <c r="E105" s="130"/>
      <c r="F105" s="130"/>
      <c r="G105" s="130"/>
      <c r="H105" s="130"/>
      <c r="I105" s="130"/>
      <c r="J105" s="12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</row>
    <row r="106" ht="15.75" customHeight="1">
      <c r="A106" s="12"/>
      <c r="B106" s="130"/>
      <c r="C106" s="130"/>
      <c r="D106" s="130"/>
      <c r="E106" s="130"/>
      <c r="F106" s="130"/>
      <c r="G106" s="130"/>
      <c r="H106" s="130"/>
      <c r="I106" s="130"/>
      <c r="J106" s="12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</row>
    <row r="107" ht="15.75" customHeight="1">
      <c r="A107" s="12"/>
      <c r="B107" s="130"/>
      <c r="C107" s="130"/>
      <c r="D107" s="130"/>
      <c r="E107" s="130"/>
      <c r="F107" s="130"/>
      <c r="G107" s="130"/>
      <c r="H107" s="130"/>
      <c r="I107" s="130"/>
      <c r="J107" s="12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</row>
    <row r="108" ht="15.75" customHeight="1">
      <c r="A108" s="12"/>
      <c r="B108" s="130"/>
      <c r="C108" s="130"/>
      <c r="D108" s="130"/>
      <c r="E108" s="130"/>
      <c r="F108" s="130"/>
      <c r="G108" s="130"/>
      <c r="H108" s="130"/>
      <c r="I108" s="130"/>
      <c r="J108" s="12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</row>
    <row r="109" ht="15.75" customHeight="1">
      <c r="A109" s="12"/>
      <c r="B109" s="130"/>
      <c r="C109" s="130"/>
      <c r="D109" s="130"/>
      <c r="E109" s="130"/>
      <c r="F109" s="130"/>
      <c r="G109" s="130"/>
      <c r="H109" s="130"/>
      <c r="I109" s="130"/>
      <c r="J109" s="12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</row>
    <row r="110" ht="15.75" customHeight="1">
      <c r="A110" s="12"/>
      <c r="B110" s="130"/>
      <c r="C110" s="130"/>
      <c r="D110" s="130"/>
      <c r="E110" s="130"/>
      <c r="F110" s="130"/>
      <c r="G110" s="130"/>
      <c r="H110" s="130"/>
      <c r="I110" s="130"/>
      <c r="J110" s="12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</row>
    <row r="111" ht="15.75" customHeight="1">
      <c r="A111" s="12"/>
      <c r="B111" s="130"/>
      <c r="C111" s="130"/>
      <c r="D111" s="130"/>
      <c r="E111" s="130"/>
      <c r="F111" s="130"/>
      <c r="G111" s="130"/>
      <c r="H111" s="130"/>
      <c r="I111" s="130"/>
      <c r="J111" s="12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</row>
    <row r="112" ht="15.75" customHeight="1">
      <c r="A112" s="12"/>
      <c r="B112" s="130"/>
      <c r="C112" s="130"/>
      <c r="D112" s="130"/>
      <c r="E112" s="130"/>
      <c r="F112" s="130"/>
      <c r="G112" s="130"/>
      <c r="H112" s="130"/>
      <c r="I112" s="130"/>
      <c r="J112" s="12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</row>
    <row r="113" ht="15.75" customHeight="1">
      <c r="A113" s="12"/>
      <c r="B113" s="130"/>
      <c r="C113" s="130"/>
      <c r="D113" s="130"/>
      <c r="E113" s="130"/>
      <c r="F113" s="130"/>
      <c r="G113" s="130"/>
      <c r="H113" s="130"/>
      <c r="I113" s="130"/>
      <c r="J113" s="12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</row>
    <row r="114" ht="15.75" customHeight="1">
      <c r="A114" s="12"/>
      <c r="B114" s="130"/>
      <c r="C114" s="130"/>
      <c r="D114" s="130"/>
      <c r="E114" s="130"/>
      <c r="F114" s="130"/>
      <c r="G114" s="130"/>
      <c r="H114" s="130"/>
      <c r="I114" s="130"/>
      <c r="J114" s="12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</row>
    <row r="115" ht="15.75" customHeight="1">
      <c r="A115" s="12"/>
      <c r="B115" s="130"/>
      <c r="C115" s="130"/>
      <c r="D115" s="130"/>
      <c r="E115" s="130"/>
      <c r="F115" s="130"/>
      <c r="G115" s="130"/>
      <c r="H115" s="130"/>
      <c r="I115" s="130"/>
      <c r="J115" s="12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</row>
    <row r="116" ht="15.75" customHeight="1">
      <c r="A116" s="12"/>
      <c r="B116" s="130"/>
      <c r="C116" s="130"/>
      <c r="D116" s="130"/>
      <c r="E116" s="130"/>
      <c r="F116" s="130"/>
      <c r="G116" s="130"/>
      <c r="H116" s="130"/>
      <c r="I116" s="130"/>
      <c r="J116" s="12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</row>
    <row r="117" ht="15.75" customHeight="1">
      <c r="A117" s="12"/>
      <c r="B117" s="130"/>
      <c r="C117" s="130"/>
      <c r="D117" s="130"/>
      <c r="E117" s="130"/>
      <c r="F117" s="130"/>
      <c r="G117" s="130"/>
      <c r="H117" s="130"/>
      <c r="I117" s="130"/>
      <c r="J117" s="12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</row>
    <row r="118" ht="15.75" customHeight="1">
      <c r="A118" s="12"/>
      <c r="B118" s="130"/>
      <c r="C118" s="130"/>
      <c r="D118" s="130"/>
      <c r="E118" s="130"/>
      <c r="F118" s="130"/>
      <c r="G118" s="130"/>
      <c r="H118" s="130"/>
      <c r="I118" s="130"/>
      <c r="J118" s="12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</row>
    <row r="119" ht="15.75" customHeight="1">
      <c r="A119" s="12"/>
      <c r="B119" s="130"/>
      <c r="C119" s="130"/>
      <c r="D119" s="130"/>
      <c r="E119" s="130"/>
      <c r="F119" s="130"/>
      <c r="G119" s="130"/>
      <c r="H119" s="130"/>
      <c r="I119" s="130"/>
      <c r="J119" s="12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</row>
    <row r="120" ht="15.75" customHeight="1">
      <c r="A120" s="12"/>
      <c r="B120" s="130"/>
      <c r="C120" s="130"/>
      <c r="D120" s="130"/>
      <c r="E120" s="130"/>
      <c r="F120" s="130"/>
      <c r="G120" s="130"/>
      <c r="H120" s="130"/>
      <c r="I120" s="130"/>
      <c r="J120" s="12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</row>
    <row r="121" ht="15.75" customHeight="1">
      <c r="A121" s="12"/>
      <c r="B121" s="130"/>
      <c r="C121" s="130"/>
      <c r="D121" s="130"/>
      <c r="E121" s="130"/>
      <c r="F121" s="130"/>
      <c r="G121" s="130"/>
      <c r="H121" s="130"/>
      <c r="I121" s="130"/>
      <c r="J121" s="12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</row>
    <row r="122" ht="15.75" customHeight="1">
      <c r="A122" s="12"/>
      <c r="B122" s="130"/>
      <c r="C122" s="130"/>
      <c r="D122" s="130"/>
      <c r="E122" s="130"/>
      <c r="F122" s="130"/>
      <c r="G122" s="130"/>
      <c r="H122" s="130"/>
      <c r="I122" s="130"/>
      <c r="J122" s="12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</row>
    <row r="123" ht="15.75" customHeight="1">
      <c r="A123" s="12"/>
      <c r="B123" s="130"/>
      <c r="C123" s="130"/>
      <c r="D123" s="130"/>
      <c r="E123" s="130"/>
      <c r="F123" s="130"/>
      <c r="G123" s="130"/>
      <c r="H123" s="130"/>
      <c r="I123" s="130"/>
      <c r="J123" s="12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</row>
    <row r="124" ht="15.75" customHeight="1">
      <c r="A124" s="12"/>
      <c r="B124" s="130"/>
      <c r="C124" s="130"/>
      <c r="D124" s="130"/>
      <c r="E124" s="130"/>
      <c r="F124" s="130"/>
      <c r="G124" s="130"/>
      <c r="H124" s="130"/>
      <c r="I124" s="130"/>
      <c r="J124" s="12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</row>
    <row r="125" ht="15.75" customHeight="1">
      <c r="A125" s="12"/>
      <c r="B125" s="130"/>
      <c r="C125" s="130"/>
      <c r="D125" s="130"/>
      <c r="E125" s="130"/>
      <c r="F125" s="130"/>
      <c r="G125" s="130"/>
      <c r="H125" s="130"/>
      <c r="I125" s="130"/>
      <c r="J125" s="12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</row>
    <row r="126" ht="15.75" customHeight="1">
      <c r="A126" s="12"/>
      <c r="B126" s="130"/>
      <c r="C126" s="130"/>
      <c r="D126" s="130"/>
      <c r="E126" s="130"/>
      <c r="F126" s="130"/>
      <c r="G126" s="130"/>
      <c r="H126" s="130"/>
      <c r="I126" s="130"/>
      <c r="J126" s="12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</row>
    <row r="127" ht="15.75" customHeight="1">
      <c r="A127" s="12"/>
      <c r="B127" s="130"/>
      <c r="C127" s="130"/>
      <c r="D127" s="130"/>
      <c r="E127" s="130"/>
      <c r="F127" s="130"/>
      <c r="G127" s="130"/>
      <c r="H127" s="130"/>
      <c r="I127" s="130"/>
      <c r="J127" s="12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</row>
    <row r="128" ht="15.75" customHeight="1">
      <c r="A128" s="12"/>
      <c r="B128" s="130"/>
      <c r="C128" s="130"/>
      <c r="D128" s="130"/>
      <c r="E128" s="130"/>
      <c r="F128" s="130"/>
      <c r="G128" s="130"/>
      <c r="H128" s="130"/>
      <c r="I128" s="130"/>
      <c r="J128" s="12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</row>
    <row r="129" ht="15.75" customHeight="1">
      <c r="A129" s="12"/>
      <c r="B129" s="130"/>
      <c r="C129" s="130"/>
      <c r="D129" s="130"/>
      <c r="E129" s="130"/>
      <c r="F129" s="130"/>
      <c r="G129" s="130"/>
      <c r="H129" s="130"/>
      <c r="I129" s="130"/>
      <c r="J129" s="12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</row>
    <row r="130" ht="15.75" customHeight="1">
      <c r="A130" s="12"/>
      <c r="B130" s="130"/>
      <c r="C130" s="130"/>
      <c r="D130" s="130"/>
      <c r="E130" s="130"/>
      <c r="F130" s="130"/>
      <c r="G130" s="130"/>
      <c r="H130" s="130"/>
      <c r="I130" s="130"/>
      <c r="J130" s="12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</row>
    <row r="131" ht="15.75" customHeight="1">
      <c r="A131" s="12"/>
      <c r="B131" s="130"/>
      <c r="C131" s="130"/>
      <c r="D131" s="130"/>
      <c r="E131" s="130"/>
      <c r="F131" s="130"/>
      <c r="G131" s="130"/>
      <c r="H131" s="130"/>
      <c r="I131" s="130"/>
      <c r="J131" s="12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</row>
    <row r="132" ht="15.75" customHeight="1">
      <c r="A132" s="12"/>
      <c r="B132" s="130"/>
      <c r="C132" s="130"/>
      <c r="D132" s="130"/>
      <c r="E132" s="130"/>
      <c r="F132" s="130"/>
      <c r="G132" s="130"/>
      <c r="H132" s="130"/>
      <c r="I132" s="130"/>
      <c r="J132" s="12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</row>
    <row r="133" ht="15.75" customHeight="1">
      <c r="A133" s="12"/>
      <c r="B133" s="130"/>
      <c r="C133" s="130"/>
      <c r="D133" s="130"/>
      <c r="E133" s="130"/>
      <c r="F133" s="130"/>
      <c r="G133" s="130"/>
      <c r="H133" s="130"/>
      <c r="I133" s="130"/>
      <c r="J133" s="12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</row>
    <row r="134" ht="15.75" customHeight="1">
      <c r="A134" s="12"/>
      <c r="B134" s="130"/>
      <c r="C134" s="130"/>
      <c r="D134" s="130"/>
      <c r="E134" s="130"/>
      <c r="F134" s="130"/>
      <c r="G134" s="130"/>
      <c r="H134" s="130"/>
      <c r="I134" s="130"/>
      <c r="J134" s="12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</row>
    <row r="135" ht="15.75" customHeight="1">
      <c r="A135" s="12"/>
      <c r="B135" s="130"/>
      <c r="C135" s="130"/>
      <c r="D135" s="130"/>
      <c r="E135" s="130"/>
      <c r="F135" s="130"/>
      <c r="G135" s="130"/>
      <c r="H135" s="130"/>
      <c r="I135" s="130"/>
      <c r="J135" s="12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</row>
    <row r="136" ht="15.75" customHeight="1">
      <c r="A136" s="12"/>
      <c r="B136" s="130"/>
      <c r="C136" s="130"/>
      <c r="D136" s="130"/>
      <c r="E136" s="130"/>
      <c r="F136" s="130"/>
      <c r="G136" s="130"/>
      <c r="H136" s="130"/>
      <c r="I136" s="130"/>
      <c r="J136" s="12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</row>
    <row r="137" ht="15.75" customHeight="1">
      <c r="A137" s="12"/>
      <c r="B137" s="130"/>
      <c r="C137" s="130"/>
      <c r="D137" s="130"/>
      <c r="E137" s="130"/>
      <c r="F137" s="130"/>
      <c r="G137" s="130"/>
      <c r="H137" s="130"/>
      <c r="I137" s="130"/>
      <c r="J137" s="12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</row>
    <row r="138" ht="15.75" customHeight="1">
      <c r="A138" s="12"/>
      <c r="B138" s="130"/>
      <c r="C138" s="130"/>
      <c r="D138" s="130"/>
      <c r="E138" s="130"/>
      <c r="F138" s="130"/>
      <c r="G138" s="130"/>
      <c r="H138" s="130"/>
      <c r="I138" s="130"/>
      <c r="J138" s="12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</row>
    <row r="139" ht="15.75" customHeight="1">
      <c r="A139" s="12"/>
      <c r="B139" s="130"/>
      <c r="C139" s="130"/>
      <c r="D139" s="130"/>
      <c r="E139" s="130"/>
      <c r="F139" s="130"/>
      <c r="G139" s="130"/>
      <c r="H139" s="130"/>
      <c r="I139" s="130"/>
      <c r="J139" s="12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</row>
    <row r="140" ht="15.75" customHeight="1">
      <c r="A140" s="12"/>
      <c r="B140" s="130"/>
      <c r="C140" s="130"/>
      <c r="D140" s="130"/>
      <c r="E140" s="130"/>
      <c r="F140" s="130"/>
      <c r="G140" s="130"/>
      <c r="H140" s="130"/>
      <c r="I140" s="130"/>
      <c r="J140" s="12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</row>
    <row r="141" ht="15.75" customHeight="1">
      <c r="A141" s="12"/>
      <c r="B141" s="130"/>
      <c r="C141" s="130"/>
      <c r="D141" s="130"/>
      <c r="E141" s="130"/>
      <c r="F141" s="130"/>
      <c r="G141" s="130"/>
      <c r="H141" s="130"/>
      <c r="I141" s="130"/>
      <c r="J141" s="12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</row>
    <row r="142" ht="15.75" customHeight="1">
      <c r="A142" s="12"/>
      <c r="B142" s="130"/>
      <c r="C142" s="130"/>
      <c r="D142" s="130"/>
      <c r="E142" s="130"/>
      <c r="F142" s="130"/>
      <c r="G142" s="130"/>
      <c r="H142" s="130"/>
      <c r="I142" s="130"/>
      <c r="J142" s="12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</row>
    <row r="143" ht="15.75" customHeight="1">
      <c r="A143" s="12"/>
      <c r="B143" s="130"/>
      <c r="C143" s="130"/>
      <c r="D143" s="130"/>
      <c r="E143" s="130"/>
      <c r="F143" s="130"/>
      <c r="G143" s="130"/>
      <c r="H143" s="130"/>
      <c r="I143" s="130"/>
      <c r="J143" s="12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</row>
    <row r="144" ht="15.75" customHeight="1">
      <c r="A144" s="12"/>
      <c r="B144" s="130"/>
      <c r="C144" s="130"/>
      <c r="D144" s="130"/>
      <c r="E144" s="130"/>
      <c r="F144" s="130"/>
      <c r="G144" s="130"/>
      <c r="H144" s="130"/>
      <c r="I144" s="130"/>
      <c r="J144" s="12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</row>
    <row r="145" ht="15.75" customHeight="1">
      <c r="A145" s="12"/>
      <c r="B145" s="130"/>
      <c r="C145" s="130"/>
      <c r="D145" s="130"/>
      <c r="E145" s="130"/>
      <c r="F145" s="130"/>
      <c r="G145" s="130"/>
      <c r="H145" s="130"/>
      <c r="I145" s="130"/>
      <c r="J145" s="12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</row>
    <row r="146" ht="15.75" customHeight="1">
      <c r="A146" s="12"/>
      <c r="B146" s="130"/>
      <c r="C146" s="130"/>
      <c r="D146" s="130"/>
      <c r="E146" s="130"/>
      <c r="F146" s="130"/>
      <c r="G146" s="130"/>
      <c r="H146" s="130"/>
      <c r="I146" s="130"/>
      <c r="J146" s="12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</row>
    <row r="147" ht="15.75" customHeight="1">
      <c r="A147" s="12"/>
      <c r="B147" s="130"/>
      <c r="C147" s="130"/>
      <c r="D147" s="130"/>
      <c r="E147" s="130"/>
      <c r="F147" s="130"/>
      <c r="G147" s="130"/>
      <c r="H147" s="130"/>
      <c r="I147" s="130"/>
      <c r="J147" s="12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</row>
    <row r="148" ht="15.75" customHeight="1">
      <c r="A148" s="12"/>
      <c r="B148" s="130"/>
      <c r="C148" s="130"/>
      <c r="D148" s="130"/>
      <c r="E148" s="130"/>
      <c r="F148" s="130"/>
      <c r="G148" s="130"/>
      <c r="H148" s="130"/>
      <c r="I148" s="130"/>
      <c r="J148" s="12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</row>
    <row r="149" ht="15.75" customHeight="1">
      <c r="A149" s="12"/>
      <c r="B149" s="130"/>
      <c r="C149" s="130"/>
      <c r="D149" s="130"/>
      <c r="E149" s="130"/>
      <c r="F149" s="130"/>
      <c r="G149" s="130"/>
      <c r="H149" s="130"/>
      <c r="I149" s="130"/>
      <c r="J149" s="12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</row>
    <row r="150" ht="15.75" customHeight="1">
      <c r="A150" s="12"/>
      <c r="B150" s="130"/>
      <c r="C150" s="130"/>
      <c r="D150" s="130"/>
      <c r="E150" s="130"/>
      <c r="F150" s="130"/>
      <c r="G150" s="130"/>
      <c r="H150" s="130"/>
      <c r="I150" s="130"/>
      <c r="J150" s="12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</row>
    <row r="151" ht="15.75" customHeight="1">
      <c r="A151" s="12"/>
      <c r="B151" s="130"/>
      <c r="C151" s="130"/>
      <c r="D151" s="130"/>
      <c r="E151" s="130"/>
      <c r="F151" s="130"/>
      <c r="G151" s="130"/>
      <c r="H151" s="130"/>
      <c r="I151" s="130"/>
      <c r="J151" s="12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</row>
    <row r="152" ht="15.75" customHeight="1">
      <c r="A152" s="12"/>
      <c r="B152" s="130"/>
      <c r="C152" s="130"/>
      <c r="D152" s="130"/>
      <c r="E152" s="130"/>
      <c r="F152" s="130"/>
      <c r="G152" s="130"/>
      <c r="H152" s="130"/>
      <c r="I152" s="130"/>
      <c r="J152" s="12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</row>
    <row r="153" ht="15.75" customHeight="1">
      <c r="A153" s="12"/>
      <c r="B153" s="130"/>
      <c r="C153" s="130"/>
      <c r="D153" s="130"/>
      <c r="E153" s="130"/>
      <c r="F153" s="130"/>
      <c r="G153" s="130"/>
      <c r="H153" s="130"/>
      <c r="I153" s="130"/>
      <c r="J153" s="12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</row>
    <row r="154" ht="15.75" customHeight="1">
      <c r="A154" s="12"/>
      <c r="B154" s="130"/>
      <c r="C154" s="130"/>
      <c r="D154" s="130"/>
      <c r="E154" s="130"/>
      <c r="F154" s="130"/>
      <c r="G154" s="130"/>
      <c r="H154" s="130"/>
      <c r="I154" s="130"/>
      <c r="J154" s="12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</row>
    <row r="155" ht="15.75" customHeight="1">
      <c r="A155" s="12"/>
      <c r="B155" s="130"/>
      <c r="C155" s="130"/>
      <c r="D155" s="130"/>
      <c r="E155" s="130"/>
      <c r="F155" s="130"/>
      <c r="G155" s="130"/>
      <c r="H155" s="130"/>
      <c r="I155" s="130"/>
      <c r="J155" s="12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</row>
    <row r="156" ht="15.75" customHeight="1">
      <c r="A156" s="12"/>
      <c r="B156" s="130"/>
      <c r="C156" s="130"/>
      <c r="D156" s="130"/>
      <c r="E156" s="130"/>
      <c r="F156" s="130"/>
      <c r="G156" s="130"/>
      <c r="H156" s="130"/>
      <c r="I156" s="130"/>
      <c r="J156" s="12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</row>
    <row r="157" ht="15.75" customHeight="1">
      <c r="A157" s="12"/>
      <c r="B157" s="130"/>
      <c r="C157" s="130"/>
      <c r="D157" s="130"/>
      <c r="E157" s="130"/>
      <c r="F157" s="130"/>
      <c r="G157" s="130"/>
      <c r="H157" s="130"/>
      <c r="I157" s="130"/>
      <c r="J157" s="12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</row>
    <row r="158" ht="15.75" customHeight="1">
      <c r="A158" s="12"/>
      <c r="B158" s="130"/>
      <c r="C158" s="130"/>
      <c r="D158" s="130"/>
      <c r="E158" s="130"/>
      <c r="F158" s="130"/>
      <c r="G158" s="130"/>
      <c r="H158" s="130"/>
      <c r="I158" s="130"/>
      <c r="J158" s="12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</row>
    <row r="159" ht="15.75" customHeight="1">
      <c r="A159" s="12"/>
      <c r="B159" s="130"/>
      <c r="C159" s="130"/>
      <c r="D159" s="130"/>
      <c r="E159" s="130"/>
      <c r="F159" s="130"/>
      <c r="G159" s="130"/>
      <c r="H159" s="130"/>
      <c r="I159" s="130"/>
      <c r="J159" s="12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</row>
    <row r="160" ht="15.75" customHeight="1">
      <c r="A160" s="12"/>
      <c r="B160" s="130"/>
      <c r="C160" s="130"/>
      <c r="D160" s="130"/>
      <c r="E160" s="130"/>
      <c r="F160" s="130"/>
      <c r="G160" s="130"/>
      <c r="H160" s="130"/>
      <c r="I160" s="130"/>
      <c r="J160" s="12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</row>
    <row r="161" ht="15.75" customHeight="1">
      <c r="A161" s="12"/>
      <c r="B161" s="130"/>
      <c r="C161" s="130"/>
      <c r="D161" s="130"/>
      <c r="E161" s="130"/>
      <c r="F161" s="130"/>
      <c r="G161" s="130"/>
      <c r="H161" s="130"/>
      <c r="I161" s="130"/>
      <c r="J161" s="12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</row>
    <row r="162" ht="15.75" customHeight="1">
      <c r="A162" s="12"/>
      <c r="B162" s="130"/>
      <c r="C162" s="130"/>
      <c r="D162" s="130"/>
      <c r="E162" s="130"/>
      <c r="F162" s="130"/>
      <c r="G162" s="130"/>
      <c r="H162" s="130"/>
      <c r="I162" s="130"/>
      <c r="J162" s="12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</row>
    <row r="163" ht="15.75" customHeight="1">
      <c r="A163" s="12"/>
      <c r="B163" s="130"/>
      <c r="C163" s="130"/>
      <c r="D163" s="130"/>
      <c r="E163" s="130"/>
      <c r="F163" s="130"/>
      <c r="G163" s="130"/>
      <c r="H163" s="130"/>
      <c r="I163" s="130"/>
      <c r="J163" s="12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</row>
    <row r="164" ht="15.75" customHeight="1">
      <c r="A164" s="12"/>
      <c r="B164" s="130"/>
      <c r="C164" s="130"/>
      <c r="D164" s="130"/>
      <c r="E164" s="130"/>
      <c r="F164" s="130"/>
      <c r="G164" s="130"/>
      <c r="H164" s="130"/>
      <c r="I164" s="130"/>
      <c r="J164" s="12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</row>
    <row r="165" ht="15.75" customHeight="1">
      <c r="A165" s="12"/>
      <c r="B165" s="130"/>
      <c r="C165" s="130"/>
      <c r="D165" s="130"/>
      <c r="E165" s="130"/>
      <c r="F165" s="130"/>
      <c r="G165" s="130"/>
      <c r="H165" s="130"/>
      <c r="I165" s="130"/>
      <c r="J165" s="12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</row>
    <row r="166" ht="15.75" customHeight="1">
      <c r="A166" s="12"/>
      <c r="B166" s="130"/>
      <c r="C166" s="130"/>
      <c r="D166" s="130"/>
      <c r="E166" s="130"/>
      <c r="F166" s="130"/>
      <c r="G166" s="130"/>
      <c r="H166" s="130"/>
      <c r="I166" s="130"/>
      <c r="J166" s="12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</row>
    <row r="167" ht="15.75" customHeight="1">
      <c r="A167" s="12"/>
      <c r="B167" s="130"/>
      <c r="C167" s="130"/>
      <c r="D167" s="130"/>
      <c r="E167" s="130"/>
      <c r="F167" s="130"/>
      <c r="G167" s="130"/>
      <c r="H167" s="130"/>
      <c r="I167" s="130"/>
      <c r="J167" s="12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</row>
    <row r="168" ht="15.75" customHeight="1">
      <c r="A168" s="12"/>
      <c r="B168" s="130"/>
      <c r="C168" s="130"/>
      <c r="D168" s="130"/>
      <c r="E168" s="130"/>
      <c r="F168" s="130"/>
      <c r="G168" s="130"/>
      <c r="H168" s="130"/>
      <c r="I168" s="130"/>
      <c r="J168" s="12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</row>
    <row r="169" ht="15.75" customHeight="1">
      <c r="A169" s="12"/>
      <c r="B169" s="130"/>
      <c r="C169" s="130"/>
      <c r="D169" s="130"/>
      <c r="E169" s="130"/>
      <c r="F169" s="130"/>
      <c r="G169" s="130"/>
      <c r="H169" s="130"/>
      <c r="I169" s="130"/>
      <c r="J169" s="12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</row>
    <row r="170" ht="15.75" customHeight="1">
      <c r="A170" s="12"/>
      <c r="B170" s="130"/>
      <c r="C170" s="130"/>
      <c r="D170" s="130"/>
      <c r="E170" s="130"/>
      <c r="F170" s="130"/>
      <c r="G170" s="130"/>
      <c r="H170" s="130"/>
      <c r="I170" s="130"/>
      <c r="J170" s="12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</row>
    <row r="171" ht="15.75" customHeight="1">
      <c r="A171" s="12"/>
      <c r="B171" s="130"/>
      <c r="C171" s="130"/>
      <c r="D171" s="130"/>
      <c r="E171" s="130"/>
      <c r="F171" s="130"/>
      <c r="G171" s="130"/>
      <c r="H171" s="130"/>
      <c r="I171" s="130"/>
      <c r="J171" s="12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</row>
    <row r="172" ht="15.75" customHeight="1">
      <c r="A172" s="12"/>
      <c r="B172" s="130"/>
      <c r="C172" s="130"/>
      <c r="D172" s="130"/>
      <c r="E172" s="130"/>
      <c r="F172" s="130"/>
      <c r="G172" s="130"/>
      <c r="H172" s="130"/>
      <c r="I172" s="130"/>
      <c r="J172" s="12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</row>
    <row r="173" ht="15.75" customHeight="1">
      <c r="A173" s="12"/>
      <c r="B173" s="130"/>
      <c r="C173" s="130"/>
      <c r="D173" s="130"/>
      <c r="E173" s="130"/>
      <c r="F173" s="130"/>
      <c r="G173" s="130"/>
      <c r="H173" s="130"/>
      <c r="I173" s="130"/>
      <c r="J173" s="12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</row>
    <row r="174" ht="15.75" customHeight="1">
      <c r="A174" s="12"/>
      <c r="B174" s="130"/>
      <c r="C174" s="130"/>
      <c r="D174" s="130"/>
      <c r="E174" s="130"/>
      <c r="F174" s="130"/>
      <c r="G174" s="130"/>
      <c r="H174" s="130"/>
      <c r="I174" s="130"/>
      <c r="J174" s="12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</row>
    <row r="175" ht="15.75" customHeight="1">
      <c r="A175" s="12"/>
      <c r="B175" s="130"/>
      <c r="C175" s="130"/>
      <c r="D175" s="130"/>
      <c r="E175" s="130"/>
      <c r="F175" s="130"/>
      <c r="G175" s="130"/>
      <c r="H175" s="130"/>
      <c r="I175" s="130"/>
      <c r="J175" s="12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</row>
    <row r="176" ht="15.75" customHeight="1">
      <c r="A176" s="12"/>
      <c r="B176" s="130"/>
      <c r="C176" s="130"/>
      <c r="D176" s="130"/>
      <c r="E176" s="130"/>
      <c r="F176" s="130"/>
      <c r="G176" s="130"/>
      <c r="H176" s="130"/>
      <c r="I176" s="130"/>
      <c r="J176" s="12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</row>
    <row r="177" ht="15.75" customHeight="1">
      <c r="A177" s="12"/>
      <c r="B177" s="130"/>
      <c r="C177" s="130"/>
      <c r="D177" s="130"/>
      <c r="E177" s="130"/>
      <c r="F177" s="130"/>
      <c r="G177" s="130"/>
      <c r="H177" s="130"/>
      <c r="I177" s="130"/>
      <c r="J177" s="12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</row>
    <row r="178" ht="15.75" customHeight="1">
      <c r="A178" s="12"/>
      <c r="B178" s="130"/>
      <c r="C178" s="130"/>
      <c r="D178" s="130"/>
      <c r="E178" s="130"/>
      <c r="F178" s="130"/>
      <c r="G178" s="130"/>
      <c r="H178" s="130"/>
      <c r="I178" s="130"/>
      <c r="J178" s="12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</row>
    <row r="179" ht="15.75" customHeight="1">
      <c r="A179" s="12"/>
      <c r="B179" s="130"/>
      <c r="C179" s="130"/>
      <c r="D179" s="130"/>
      <c r="E179" s="130"/>
      <c r="F179" s="130"/>
      <c r="G179" s="130"/>
      <c r="H179" s="130"/>
      <c r="I179" s="130"/>
      <c r="J179" s="12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</row>
    <row r="180" ht="15.75" customHeight="1">
      <c r="A180" s="12"/>
      <c r="B180" s="130"/>
      <c r="C180" s="130"/>
      <c r="D180" s="130"/>
      <c r="E180" s="130"/>
      <c r="F180" s="130"/>
      <c r="G180" s="130"/>
      <c r="H180" s="130"/>
      <c r="I180" s="130"/>
      <c r="J180" s="12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</row>
    <row r="181" ht="15.75" customHeight="1">
      <c r="A181" s="12"/>
      <c r="B181" s="130"/>
      <c r="C181" s="130"/>
      <c r="D181" s="130"/>
      <c r="E181" s="130"/>
      <c r="F181" s="130"/>
      <c r="G181" s="130"/>
      <c r="H181" s="130"/>
      <c r="I181" s="130"/>
      <c r="J181" s="12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</row>
    <row r="182" ht="15.75" customHeight="1">
      <c r="A182" s="12"/>
      <c r="B182" s="130"/>
      <c r="C182" s="130"/>
      <c r="D182" s="130"/>
      <c r="E182" s="130"/>
      <c r="F182" s="130"/>
      <c r="G182" s="130"/>
      <c r="H182" s="130"/>
      <c r="I182" s="130"/>
      <c r="J182" s="12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</row>
    <row r="183" ht="15.75" customHeight="1">
      <c r="A183" s="12"/>
      <c r="B183" s="130"/>
      <c r="C183" s="130"/>
      <c r="D183" s="130"/>
      <c r="E183" s="130"/>
      <c r="F183" s="130"/>
      <c r="G183" s="130"/>
      <c r="H183" s="130"/>
      <c r="I183" s="130"/>
      <c r="J183" s="12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</row>
    <row r="184" ht="15.75" customHeight="1">
      <c r="A184" s="12"/>
      <c r="B184" s="130"/>
      <c r="C184" s="130"/>
      <c r="D184" s="130"/>
      <c r="E184" s="130"/>
      <c r="F184" s="130"/>
      <c r="G184" s="130"/>
      <c r="H184" s="130"/>
      <c r="I184" s="130"/>
      <c r="J184" s="12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</row>
    <row r="185" ht="15.75" customHeight="1">
      <c r="A185" s="12"/>
      <c r="B185" s="130"/>
      <c r="C185" s="130"/>
      <c r="D185" s="130"/>
      <c r="E185" s="130"/>
      <c r="F185" s="130"/>
      <c r="G185" s="130"/>
      <c r="H185" s="130"/>
      <c r="I185" s="130"/>
      <c r="J185" s="12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</row>
    <row r="186" ht="15.75" customHeight="1">
      <c r="A186" s="12"/>
      <c r="B186" s="130"/>
      <c r="C186" s="130"/>
      <c r="D186" s="130"/>
      <c r="E186" s="130"/>
      <c r="F186" s="130"/>
      <c r="G186" s="130"/>
      <c r="H186" s="130"/>
      <c r="I186" s="130"/>
      <c r="J186" s="12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</row>
    <row r="187" ht="15.75" customHeight="1">
      <c r="A187" s="12"/>
      <c r="B187" s="130"/>
      <c r="C187" s="130"/>
      <c r="D187" s="130"/>
      <c r="E187" s="130"/>
      <c r="F187" s="130"/>
      <c r="G187" s="130"/>
      <c r="H187" s="130"/>
      <c r="I187" s="130"/>
      <c r="J187" s="12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</row>
    <row r="188" ht="15.75" customHeight="1">
      <c r="A188" s="12"/>
      <c r="B188" s="130"/>
      <c r="C188" s="130"/>
      <c r="D188" s="130"/>
      <c r="E188" s="130"/>
      <c r="F188" s="130"/>
      <c r="G188" s="130"/>
      <c r="H188" s="130"/>
      <c r="I188" s="130"/>
      <c r="J188" s="12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</row>
    <row r="189" ht="15.75" customHeight="1">
      <c r="A189" s="12"/>
      <c r="B189" s="130"/>
      <c r="C189" s="130"/>
      <c r="D189" s="130"/>
      <c r="E189" s="130"/>
      <c r="F189" s="130"/>
      <c r="G189" s="130"/>
      <c r="H189" s="130"/>
      <c r="I189" s="130"/>
      <c r="J189" s="12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</row>
    <row r="190" ht="15.75" customHeight="1">
      <c r="A190" s="12"/>
      <c r="B190" s="130"/>
      <c r="C190" s="130"/>
      <c r="D190" s="130"/>
      <c r="E190" s="130"/>
      <c r="F190" s="130"/>
      <c r="G190" s="130"/>
      <c r="H190" s="130"/>
      <c r="I190" s="130"/>
      <c r="J190" s="12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</row>
    <row r="191" ht="15.75" customHeight="1">
      <c r="A191" s="12"/>
      <c r="B191" s="130"/>
      <c r="C191" s="130"/>
      <c r="D191" s="130"/>
      <c r="E191" s="130"/>
      <c r="F191" s="130"/>
      <c r="G191" s="130"/>
      <c r="H191" s="130"/>
      <c r="I191" s="130"/>
      <c r="J191" s="12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</row>
    <row r="192" ht="15.75" customHeight="1">
      <c r="A192" s="12"/>
      <c r="B192" s="130"/>
      <c r="C192" s="130"/>
      <c r="D192" s="130"/>
      <c r="E192" s="130"/>
      <c r="F192" s="130"/>
      <c r="G192" s="130"/>
      <c r="H192" s="130"/>
      <c r="I192" s="130"/>
      <c r="J192" s="12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</row>
    <row r="193" ht="15.75" customHeight="1">
      <c r="A193" s="12"/>
      <c r="B193" s="130"/>
      <c r="C193" s="130"/>
      <c r="D193" s="130"/>
      <c r="E193" s="130"/>
      <c r="F193" s="130"/>
      <c r="G193" s="130"/>
      <c r="H193" s="130"/>
      <c r="I193" s="130"/>
      <c r="J193" s="12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</row>
    <row r="194" ht="15.75" customHeight="1">
      <c r="A194" s="12"/>
      <c r="B194" s="130"/>
      <c r="C194" s="130"/>
      <c r="D194" s="130"/>
      <c r="E194" s="130"/>
      <c r="F194" s="130"/>
      <c r="G194" s="130"/>
      <c r="H194" s="130"/>
      <c r="I194" s="130"/>
      <c r="J194" s="12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</row>
    <row r="195" ht="15.75" customHeight="1">
      <c r="A195" s="12"/>
      <c r="B195" s="130"/>
      <c r="C195" s="130"/>
      <c r="D195" s="130"/>
      <c r="E195" s="130"/>
      <c r="F195" s="130"/>
      <c r="G195" s="130"/>
      <c r="H195" s="130"/>
      <c r="I195" s="130"/>
      <c r="J195" s="12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</row>
    <row r="196" ht="15.75" customHeight="1">
      <c r="A196" s="12"/>
      <c r="B196" s="130"/>
      <c r="C196" s="130"/>
      <c r="D196" s="130"/>
      <c r="E196" s="130"/>
      <c r="F196" s="130"/>
      <c r="G196" s="130"/>
      <c r="H196" s="130"/>
      <c r="I196" s="130"/>
      <c r="J196" s="12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</row>
    <row r="197" ht="15.75" customHeight="1">
      <c r="A197" s="12"/>
      <c r="B197" s="130"/>
      <c r="C197" s="130"/>
      <c r="D197" s="130"/>
      <c r="E197" s="130"/>
      <c r="F197" s="130"/>
      <c r="G197" s="130"/>
      <c r="H197" s="130"/>
      <c r="I197" s="130"/>
      <c r="J197" s="12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</row>
    <row r="198" ht="15.75" customHeight="1">
      <c r="A198" s="12"/>
      <c r="B198" s="130"/>
      <c r="C198" s="130"/>
      <c r="D198" s="130"/>
      <c r="E198" s="130"/>
      <c r="F198" s="130"/>
      <c r="G198" s="130"/>
      <c r="H198" s="130"/>
      <c r="I198" s="130"/>
      <c r="J198" s="12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</row>
    <row r="199" ht="15.75" customHeight="1">
      <c r="A199" s="12"/>
      <c r="B199" s="130"/>
      <c r="C199" s="130"/>
      <c r="D199" s="130"/>
      <c r="E199" s="130"/>
      <c r="F199" s="130"/>
      <c r="G199" s="130"/>
      <c r="H199" s="130"/>
      <c r="I199" s="130"/>
      <c r="J199" s="12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</row>
    <row r="200" ht="15.75" customHeight="1">
      <c r="A200" s="12"/>
      <c r="B200" s="130"/>
      <c r="C200" s="130"/>
      <c r="D200" s="130"/>
      <c r="E200" s="130"/>
      <c r="F200" s="130"/>
      <c r="G200" s="130"/>
      <c r="H200" s="130"/>
      <c r="I200" s="130"/>
      <c r="J200" s="12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</row>
    <row r="201" ht="15.75" customHeight="1">
      <c r="A201" s="12"/>
      <c r="B201" s="130"/>
      <c r="C201" s="130"/>
      <c r="D201" s="130"/>
      <c r="E201" s="130"/>
      <c r="F201" s="130"/>
      <c r="G201" s="130"/>
      <c r="H201" s="130"/>
      <c r="I201" s="130"/>
      <c r="J201" s="12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</row>
    <row r="202" ht="15.75" customHeight="1">
      <c r="A202" s="12"/>
      <c r="B202" s="130"/>
      <c r="C202" s="130"/>
      <c r="D202" s="130"/>
      <c r="E202" s="130"/>
      <c r="F202" s="130"/>
      <c r="G202" s="130"/>
      <c r="H202" s="130"/>
      <c r="I202" s="130"/>
      <c r="J202" s="12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</row>
    <row r="203" ht="15.75" customHeight="1">
      <c r="A203" s="12"/>
      <c r="B203" s="130"/>
      <c r="C203" s="130"/>
      <c r="D203" s="130"/>
      <c r="E203" s="130"/>
      <c r="F203" s="130"/>
      <c r="G203" s="130"/>
      <c r="H203" s="130"/>
      <c r="I203" s="130"/>
      <c r="J203" s="12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</row>
    <row r="204" ht="15.75" customHeight="1">
      <c r="A204" s="12"/>
      <c r="B204" s="130"/>
      <c r="C204" s="130"/>
      <c r="D204" s="130"/>
      <c r="E204" s="130"/>
      <c r="F204" s="130"/>
      <c r="G204" s="130"/>
      <c r="H204" s="130"/>
      <c r="I204" s="130"/>
      <c r="J204" s="12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</row>
    <row r="205" ht="15.75" customHeight="1">
      <c r="A205" s="12"/>
      <c r="B205" s="130"/>
      <c r="C205" s="130"/>
      <c r="D205" s="130"/>
      <c r="E205" s="130"/>
      <c r="F205" s="130"/>
      <c r="G205" s="130"/>
      <c r="H205" s="130"/>
      <c r="I205" s="130"/>
      <c r="J205" s="12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</row>
    <row r="206" ht="15.75" customHeight="1">
      <c r="A206" s="12"/>
      <c r="B206" s="130"/>
      <c r="C206" s="130"/>
      <c r="D206" s="130"/>
      <c r="E206" s="130"/>
      <c r="F206" s="130"/>
      <c r="G206" s="130"/>
      <c r="H206" s="130"/>
      <c r="I206" s="130"/>
      <c r="J206" s="12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</row>
    <row r="207" ht="15.75" customHeight="1">
      <c r="A207" s="12"/>
      <c r="B207" s="130"/>
      <c r="C207" s="130"/>
      <c r="D207" s="130"/>
      <c r="E207" s="130"/>
      <c r="F207" s="130"/>
      <c r="G207" s="130"/>
      <c r="H207" s="130"/>
      <c r="I207" s="130"/>
      <c r="J207" s="12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</row>
    <row r="208" ht="15.75" customHeight="1">
      <c r="A208" s="12"/>
      <c r="B208" s="130"/>
      <c r="C208" s="130"/>
      <c r="D208" s="130"/>
      <c r="E208" s="130"/>
      <c r="F208" s="130"/>
      <c r="G208" s="130"/>
      <c r="H208" s="130"/>
      <c r="I208" s="130"/>
      <c r="J208" s="12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</row>
    <row r="209" ht="15.75" customHeight="1">
      <c r="A209" s="12"/>
      <c r="B209" s="130"/>
      <c r="C209" s="130"/>
      <c r="D209" s="130"/>
      <c r="E209" s="130"/>
      <c r="F209" s="130"/>
      <c r="G209" s="130"/>
      <c r="H209" s="130"/>
      <c r="I209" s="130"/>
      <c r="J209" s="12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</row>
    <row r="210" ht="15.75" customHeight="1">
      <c r="A210" s="12"/>
      <c r="B210" s="130"/>
      <c r="C210" s="130"/>
      <c r="D210" s="130"/>
      <c r="E210" s="130"/>
      <c r="F210" s="130"/>
      <c r="G210" s="130"/>
      <c r="H210" s="130"/>
      <c r="I210" s="130"/>
      <c r="J210" s="12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</row>
    <row r="211" ht="15.75" customHeight="1">
      <c r="A211" s="12"/>
      <c r="B211" s="130"/>
      <c r="C211" s="130"/>
      <c r="D211" s="130"/>
      <c r="E211" s="130"/>
      <c r="F211" s="130"/>
      <c r="G211" s="130"/>
      <c r="H211" s="130"/>
      <c r="I211" s="130"/>
      <c r="J211" s="12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</row>
    <row r="212" ht="15.75" customHeight="1">
      <c r="A212" s="12"/>
      <c r="B212" s="130"/>
      <c r="C212" s="130"/>
      <c r="D212" s="130"/>
      <c r="E212" s="130"/>
      <c r="F212" s="130"/>
      <c r="G212" s="130"/>
      <c r="H212" s="130"/>
      <c r="I212" s="130"/>
      <c r="J212" s="12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</row>
    <row r="213" ht="15.75" customHeight="1">
      <c r="A213" s="12"/>
      <c r="B213" s="130"/>
      <c r="C213" s="130"/>
      <c r="D213" s="130"/>
      <c r="E213" s="130"/>
      <c r="F213" s="130"/>
      <c r="G213" s="130"/>
      <c r="H213" s="130"/>
      <c r="I213" s="130"/>
      <c r="J213" s="12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</row>
    <row r="214" ht="15.75" customHeight="1">
      <c r="A214" s="12"/>
      <c r="B214" s="130"/>
      <c r="C214" s="130"/>
      <c r="D214" s="130"/>
      <c r="E214" s="130"/>
      <c r="F214" s="130"/>
      <c r="G214" s="130"/>
      <c r="H214" s="130"/>
      <c r="I214" s="130"/>
      <c r="J214" s="12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</row>
    <row r="215" ht="15.75" customHeight="1">
      <c r="A215" s="12"/>
      <c r="B215" s="130"/>
      <c r="C215" s="130"/>
      <c r="D215" s="130"/>
      <c r="E215" s="130"/>
      <c r="F215" s="130"/>
      <c r="G215" s="130"/>
      <c r="H215" s="130"/>
      <c r="I215" s="130"/>
      <c r="J215" s="12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</row>
    <row r="216" ht="15.75" customHeight="1">
      <c r="A216" s="12"/>
      <c r="B216" s="130"/>
      <c r="C216" s="130"/>
      <c r="D216" s="130"/>
      <c r="E216" s="130"/>
      <c r="F216" s="130"/>
      <c r="G216" s="130"/>
      <c r="H216" s="130"/>
      <c r="I216" s="130"/>
      <c r="J216" s="12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</row>
    <row r="217" ht="15.75" customHeight="1">
      <c r="A217" s="12"/>
      <c r="B217" s="130"/>
      <c r="C217" s="130"/>
      <c r="D217" s="130"/>
      <c r="E217" s="130"/>
      <c r="F217" s="130"/>
      <c r="G217" s="130"/>
      <c r="H217" s="130"/>
      <c r="I217" s="130"/>
      <c r="J217" s="12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</row>
    <row r="218" ht="15.75" customHeight="1">
      <c r="A218" s="12"/>
      <c r="B218" s="130"/>
      <c r="C218" s="130"/>
      <c r="D218" s="130"/>
      <c r="E218" s="130"/>
      <c r="F218" s="130"/>
      <c r="G218" s="130"/>
      <c r="H218" s="130"/>
      <c r="I218" s="130"/>
      <c r="J218" s="12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</row>
    <row r="219" ht="15.75" customHeight="1">
      <c r="A219" s="12"/>
      <c r="B219" s="130"/>
      <c r="C219" s="130"/>
      <c r="D219" s="130"/>
      <c r="E219" s="130"/>
      <c r="F219" s="130"/>
      <c r="G219" s="130"/>
      <c r="H219" s="130"/>
      <c r="I219" s="130"/>
      <c r="J219" s="12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</row>
    <row r="220" ht="15.75" customHeight="1">
      <c r="A220" s="12"/>
      <c r="B220" s="130"/>
      <c r="C220" s="130"/>
      <c r="D220" s="130"/>
      <c r="E220" s="130"/>
      <c r="F220" s="130"/>
      <c r="G220" s="130"/>
      <c r="H220" s="130"/>
      <c r="I220" s="130"/>
      <c r="J220" s="12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E1"/>
    <mergeCell ref="F1:Q1"/>
    <mergeCell ref="R1:AC1"/>
    <mergeCell ref="AD1:AO1"/>
    <mergeCell ref="AP1:BA1"/>
  </mergeCells>
  <printOptions/>
  <pageMargins bottom="1.574803149606299" footer="0.0" header="0.0" left="0.7000000000000001" right="0.7000000000000001" top="1.574803149606299"/>
  <pageSetup orientation="portrait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30.38"/>
    <col customWidth="1" min="2" max="2" width="26.5"/>
    <col customWidth="1" min="3" max="3" width="13.0"/>
    <col customWidth="1" min="4" max="4" width="21.13"/>
    <col customWidth="1" min="5" max="5" width="20.5"/>
    <col customWidth="1" min="6" max="6" width="24.88"/>
    <col customWidth="1" min="7" max="7" width="14.88"/>
    <col customWidth="1" min="8" max="29" width="10.38"/>
  </cols>
  <sheetData>
    <row r="1" ht="45.75" customHeight="1">
      <c r="A1" s="12"/>
      <c r="B1" s="137" t="s">
        <v>370</v>
      </c>
      <c r="C1" s="138"/>
      <c r="D1" s="109"/>
      <c r="E1" s="109"/>
      <c r="F1" s="109"/>
      <c r="G1" s="12"/>
      <c r="H1" s="12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ht="15.75" customHeight="1">
      <c r="A2" s="139"/>
      <c r="B2" s="139"/>
      <c r="C2" s="140"/>
      <c r="D2" s="141"/>
      <c r="E2" s="141"/>
      <c r="F2" s="141"/>
      <c r="G2" s="139"/>
      <c r="H2" s="139"/>
      <c r="I2" s="142">
        <v>2020.0</v>
      </c>
      <c r="K2" s="142">
        <v>2021.0</v>
      </c>
      <c r="M2" s="142">
        <v>2022.0</v>
      </c>
      <c r="O2" s="142">
        <v>2023.0</v>
      </c>
      <c r="Q2" s="142">
        <v>2024.0</v>
      </c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ht="32.25" customHeight="1">
      <c r="A3" s="143" t="s">
        <v>371</v>
      </c>
      <c r="B3" s="144" t="s">
        <v>372</v>
      </c>
      <c r="C3" s="145"/>
      <c r="D3" s="146" t="s">
        <v>373</v>
      </c>
      <c r="E3" s="146" t="s">
        <v>374</v>
      </c>
      <c r="F3" s="146" t="s">
        <v>375</v>
      </c>
      <c r="G3" s="147" t="s">
        <v>376</v>
      </c>
      <c r="H3" s="147" t="s">
        <v>377</v>
      </c>
      <c r="I3" s="147" t="s">
        <v>378</v>
      </c>
      <c r="J3" s="147" t="s">
        <v>379</v>
      </c>
      <c r="K3" s="147" t="s">
        <v>378</v>
      </c>
      <c r="L3" s="147" t="s">
        <v>379</v>
      </c>
      <c r="M3" s="147" t="s">
        <v>378</v>
      </c>
      <c r="N3" s="147" t="s">
        <v>379</v>
      </c>
      <c r="O3" s="147" t="s">
        <v>378</v>
      </c>
      <c r="P3" s="147" t="s">
        <v>379</v>
      </c>
      <c r="Q3" s="147" t="s">
        <v>378</v>
      </c>
      <c r="R3" s="147" t="s">
        <v>379</v>
      </c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ht="22.5" customHeight="1">
      <c r="A4" s="149"/>
      <c r="B4" s="149"/>
      <c r="C4" s="150"/>
      <c r="D4" s="151"/>
      <c r="E4" s="151"/>
      <c r="F4" s="151"/>
      <c r="G4" s="152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ht="22.5" customHeight="1">
      <c r="A5" s="154" t="s">
        <v>380</v>
      </c>
      <c r="B5" s="155" t="s">
        <v>381</v>
      </c>
      <c r="C5" s="156" t="s">
        <v>382</v>
      </c>
      <c r="D5" s="157">
        <f>Datengrundlage!C32*Datengrundlage!C38</f>
        <v>0</v>
      </c>
      <c r="E5" s="157">
        <f>Datengrundlage!C32*Datengrundlage!C38</f>
        <v>0</v>
      </c>
      <c r="F5" s="157">
        <v>0.0</v>
      </c>
      <c r="G5" s="158" t="s">
        <v>383</v>
      </c>
      <c r="H5" s="159"/>
      <c r="I5" s="159"/>
      <c r="J5" s="160">
        <f>D5</f>
        <v>0</v>
      </c>
      <c r="K5" s="159"/>
      <c r="L5" s="160">
        <f>D5</f>
        <v>0</v>
      </c>
      <c r="M5" s="159"/>
      <c r="N5" s="160">
        <f>D5</f>
        <v>0</v>
      </c>
      <c r="O5" s="159"/>
      <c r="P5" s="160">
        <f>D5</f>
        <v>0</v>
      </c>
      <c r="Q5" s="159"/>
      <c r="R5" s="160">
        <f>D5</f>
        <v>0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ht="22.5" customHeight="1">
      <c r="A6" s="149"/>
      <c r="B6" s="149"/>
      <c r="C6" s="150"/>
      <c r="D6" s="151"/>
      <c r="E6" s="151"/>
      <c r="F6" s="151"/>
      <c r="G6" s="152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ht="36.0" customHeight="1">
      <c r="A7" s="161" t="s">
        <v>384</v>
      </c>
      <c r="B7" s="162" t="s">
        <v>248</v>
      </c>
      <c r="C7" s="163" t="s">
        <v>385</v>
      </c>
      <c r="D7" s="164">
        <f t="shared" ref="D7:F7" si="1">D9+D11</f>
        <v>0</v>
      </c>
      <c r="E7" s="164">
        <f t="shared" si="1"/>
        <v>1000</v>
      </c>
      <c r="F7" s="164">
        <f t="shared" si="1"/>
        <v>3000</v>
      </c>
      <c r="G7" s="152" t="s">
        <v>386</v>
      </c>
      <c r="H7" s="153">
        <v>10.0</v>
      </c>
      <c r="I7" s="165">
        <f t="shared" ref="I7:R7" si="2">I9+I11</f>
        <v>0</v>
      </c>
      <c r="J7" s="165">
        <f t="shared" si="2"/>
        <v>0</v>
      </c>
      <c r="K7" s="165">
        <f t="shared" si="2"/>
        <v>0</v>
      </c>
      <c r="L7" s="165">
        <f t="shared" si="2"/>
        <v>0</v>
      </c>
      <c r="M7" s="165">
        <f t="shared" si="2"/>
        <v>0</v>
      </c>
      <c r="N7" s="165">
        <f t="shared" si="2"/>
        <v>0</v>
      </c>
      <c r="O7" s="165">
        <f t="shared" si="2"/>
        <v>0</v>
      </c>
      <c r="P7" s="165">
        <f t="shared" si="2"/>
        <v>0</v>
      </c>
      <c r="Q7" s="165">
        <f t="shared" si="2"/>
        <v>0</v>
      </c>
      <c r="R7" s="165">
        <f t="shared" si="2"/>
        <v>0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ht="15.75" customHeight="1">
      <c r="A8" s="166"/>
      <c r="B8" s="167"/>
      <c r="C8" s="168"/>
      <c r="D8" s="169"/>
      <c r="E8" s="169"/>
      <c r="F8" s="16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ht="15.75" customHeight="1">
      <c r="A9" s="166" t="s">
        <v>387</v>
      </c>
      <c r="B9" s="166" t="s">
        <v>388</v>
      </c>
      <c r="C9" s="168"/>
      <c r="D9" s="170">
        <v>0.0</v>
      </c>
      <c r="E9" s="170">
        <v>1000.0</v>
      </c>
      <c r="F9" s="170">
        <v>2000.0</v>
      </c>
      <c r="G9" s="152" t="s">
        <v>386</v>
      </c>
      <c r="H9" s="152">
        <v>10.0</v>
      </c>
      <c r="I9" s="171">
        <f>D9/H9</f>
        <v>0</v>
      </c>
      <c r="J9" s="171">
        <f>D9-I9</f>
        <v>0</v>
      </c>
      <c r="K9" s="171">
        <f>D9/H9</f>
        <v>0</v>
      </c>
      <c r="L9" s="171">
        <f>J9-K9</f>
        <v>0</v>
      </c>
      <c r="M9" s="171">
        <f>D9/H9</f>
        <v>0</v>
      </c>
      <c r="N9" s="171">
        <f>L9-M9</f>
        <v>0</v>
      </c>
      <c r="O9" s="171">
        <f>D9/H9</f>
        <v>0</v>
      </c>
      <c r="P9" s="171">
        <f>N9-O9</f>
        <v>0</v>
      </c>
      <c r="Q9" s="171">
        <f>D9/H9</f>
        <v>0</v>
      </c>
      <c r="R9" s="171">
        <f>P9-Q9</f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ht="15.75" customHeight="1">
      <c r="A10" s="166"/>
      <c r="B10" s="167"/>
      <c r="C10" s="168"/>
      <c r="D10" s="169"/>
      <c r="E10" s="169"/>
      <c r="F10" s="169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15.75" customHeight="1">
      <c r="A11" s="166" t="s">
        <v>387</v>
      </c>
      <c r="B11" s="166" t="s">
        <v>389</v>
      </c>
      <c r="C11" s="168"/>
      <c r="D11" s="170"/>
      <c r="E11" s="170">
        <v>0.0</v>
      </c>
      <c r="F11" s="170">
        <v>1000.0</v>
      </c>
      <c r="G11" s="152" t="s">
        <v>386</v>
      </c>
      <c r="H11" s="152">
        <v>10.0</v>
      </c>
      <c r="I11" s="171">
        <f>D11/H11</f>
        <v>0</v>
      </c>
      <c r="J11" s="171">
        <f>D11-I11</f>
        <v>0</v>
      </c>
      <c r="K11" s="171">
        <f>D11/H11</f>
        <v>0</v>
      </c>
      <c r="L11" s="171">
        <f>J11-K11</f>
        <v>0</v>
      </c>
      <c r="M11" s="171">
        <f>D11/H11</f>
        <v>0</v>
      </c>
      <c r="N11" s="171">
        <f>L11-M11</f>
        <v>0</v>
      </c>
      <c r="O11" s="171">
        <f>D11/H11</f>
        <v>0</v>
      </c>
      <c r="P11" s="171">
        <f>N11-O11</f>
        <v>0</v>
      </c>
      <c r="Q11" s="171">
        <f>D11/H11</f>
        <v>0</v>
      </c>
      <c r="R11" s="171">
        <f>P11-Q11</f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ht="15.75" customHeight="1">
      <c r="A12" s="166"/>
      <c r="B12" s="167"/>
      <c r="C12" s="168"/>
      <c r="D12" s="169"/>
      <c r="E12" s="169"/>
      <c r="F12" s="16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48.0" customHeight="1">
      <c r="A13" s="172" t="s">
        <v>249</v>
      </c>
      <c r="B13" s="173" t="s">
        <v>390</v>
      </c>
      <c r="C13" s="150"/>
      <c r="D13" s="164">
        <f t="shared" ref="D13:E13" si="3">D15+D21+D24+D29+D30+D25+D22+D27+D28</f>
        <v>13800</v>
      </c>
      <c r="E13" s="164">
        <f t="shared" si="3"/>
        <v>44580</v>
      </c>
      <c r="F13" s="164">
        <f>F16+F18+F19+F20+F28</f>
        <v>50000</v>
      </c>
      <c r="G13" s="153" t="s">
        <v>391</v>
      </c>
      <c r="H13" s="153" t="s">
        <v>392</v>
      </c>
      <c r="I13" s="165" t="str">
        <f t="shared" ref="I13:R13" si="4">I15+I21+#REF!+I24+K29+I30</f>
        <v>#REF!</v>
      </c>
      <c r="J13" s="165" t="str">
        <f t="shared" si="4"/>
        <v>#REF!</v>
      </c>
      <c r="K13" s="165" t="str">
        <f t="shared" si="4"/>
        <v>#REF!</v>
      </c>
      <c r="L13" s="165" t="str">
        <f t="shared" si="4"/>
        <v>#REF!</v>
      </c>
      <c r="M13" s="165" t="str">
        <f t="shared" si="4"/>
        <v>#REF!</v>
      </c>
      <c r="N13" s="165" t="str">
        <f t="shared" si="4"/>
        <v>#REF!</v>
      </c>
      <c r="O13" s="165" t="str">
        <f t="shared" si="4"/>
        <v>#REF!</v>
      </c>
      <c r="P13" s="165" t="str">
        <f t="shared" si="4"/>
        <v>#REF!</v>
      </c>
      <c r="Q13" s="165" t="str">
        <f t="shared" si="4"/>
        <v>#REF!</v>
      </c>
      <c r="R13" s="165" t="str">
        <f t="shared" si="4"/>
        <v>#REF!</v>
      </c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ht="15.75" customHeight="1">
      <c r="A14" s="166"/>
      <c r="B14" s="167"/>
      <c r="C14" s="168"/>
      <c r="D14" s="169"/>
      <c r="E14" s="169"/>
      <c r="F14" s="169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45.75" customHeight="1">
      <c r="A15" s="166" t="s">
        <v>393</v>
      </c>
      <c r="B15" s="174" t="s">
        <v>394</v>
      </c>
      <c r="C15" s="168"/>
      <c r="D15" s="175">
        <f t="shared" ref="D15:E15" si="5">SUM(D16:D20)</f>
        <v>13800</v>
      </c>
      <c r="E15" s="175">
        <f t="shared" si="5"/>
        <v>9580</v>
      </c>
      <c r="F15" s="176"/>
      <c r="G15" s="152" t="s">
        <v>395</v>
      </c>
      <c r="H15" s="152">
        <v>10.0</v>
      </c>
      <c r="I15" s="171">
        <f t="shared" ref="I15:R15" si="6">SUM(I16:I19)</f>
        <v>0</v>
      </c>
      <c r="J15" s="171">
        <f t="shared" si="6"/>
        <v>0</v>
      </c>
      <c r="K15" s="171" t="str">
        <f t="shared" si="6"/>
        <v>#REF!</v>
      </c>
      <c r="L15" s="171" t="str">
        <f t="shared" si="6"/>
        <v>#REF!</v>
      </c>
      <c r="M15" s="171" t="str">
        <f t="shared" si="6"/>
        <v>#REF!</v>
      </c>
      <c r="N15" s="171" t="str">
        <f t="shared" si="6"/>
        <v>#REF!</v>
      </c>
      <c r="O15" s="171" t="str">
        <f t="shared" si="6"/>
        <v>#REF!</v>
      </c>
      <c r="P15" s="171" t="str">
        <f t="shared" si="6"/>
        <v>#REF!</v>
      </c>
      <c r="Q15" s="171" t="str">
        <f t="shared" si="6"/>
        <v>#REF!</v>
      </c>
      <c r="R15" s="171" t="str">
        <f t="shared" si="6"/>
        <v>#REF!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ht="15.75" customHeight="1">
      <c r="A16" s="177" t="s">
        <v>396</v>
      </c>
      <c r="B16" s="167" t="s">
        <v>397</v>
      </c>
      <c r="C16" s="168"/>
      <c r="D16" s="178"/>
      <c r="E16" s="178"/>
      <c r="F16" s="175">
        <v>25000.0</v>
      </c>
      <c r="G16" s="130" t="s">
        <v>395</v>
      </c>
      <c r="H16" s="130">
        <v>10.0</v>
      </c>
      <c r="I16" s="136">
        <f>D16/H16/12</f>
        <v>0</v>
      </c>
      <c r="J16" s="136">
        <f t="shared" ref="J16:J17" si="7">D16-I16</f>
        <v>0</v>
      </c>
      <c r="K16" s="136">
        <f>D16/H16</f>
        <v>0</v>
      </c>
      <c r="L16" s="136">
        <f t="shared" ref="L16:L17" si="8">J16-K16</f>
        <v>0</v>
      </c>
      <c r="M16" s="136">
        <f>D16/H16</f>
        <v>0</v>
      </c>
      <c r="N16" s="136">
        <f t="shared" ref="N16:N19" si="9">L16-M16</f>
        <v>0</v>
      </c>
      <c r="O16" s="136">
        <f>D16/H16</f>
        <v>0</v>
      </c>
      <c r="P16" s="136">
        <f t="shared" ref="P16:P20" si="10">N16-O16</f>
        <v>0</v>
      </c>
      <c r="Q16" s="136">
        <f>D16/H16</f>
        <v>0</v>
      </c>
      <c r="R16" s="136">
        <f t="shared" ref="R16:R20" si="11">P16-Q16</f>
        <v>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15.75" customHeight="1">
      <c r="A17" s="166" t="s">
        <v>398</v>
      </c>
      <c r="B17" s="167" t="s">
        <v>399</v>
      </c>
      <c r="C17" s="168"/>
      <c r="D17" s="178"/>
      <c r="E17" s="178"/>
      <c r="F17" s="178"/>
      <c r="G17" s="130"/>
      <c r="H17" s="130">
        <v>10.0</v>
      </c>
      <c r="I17" s="136">
        <f>D17/H18/12</f>
        <v>0</v>
      </c>
      <c r="J17" s="136">
        <f t="shared" si="7"/>
        <v>0</v>
      </c>
      <c r="K17" s="136">
        <f>D17/H18</f>
        <v>0</v>
      </c>
      <c r="L17" s="136">
        <f t="shared" si="8"/>
        <v>0</v>
      </c>
      <c r="M17" s="136">
        <f t="shared" ref="M17:M18" si="12">D17/H18</f>
        <v>0</v>
      </c>
      <c r="N17" s="136">
        <f t="shared" si="9"/>
        <v>0</v>
      </c>
      <c r="O17" s="136">
        <f t="shared" ref="O17:O18" si="13">D17/H18</f>
        <v>0</v>
      </c>
      <c r="P17" s="136">
        <f t="shared" si="10"/>
        <v>0</v>
      </c>
      <c r="Q17" s="136">
        <f t="shared" ref="Q17:Q18" si="14">D17/H18</f>
        <v>0</v>
      </c>
      <c r="R17" s="136">
        <f t="shared" si="11"/>
        <v>0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15.75" customHeight="1">
      <c r="A18" s="177" t="s">
        <v>400</v>
      </c>
      <c r="B18" s="167" t="s">
        <v>401</v>
      </c>
      <c r="C18" s="168"/>
      <c r="D18" s="178">
        <f>27.6*500</f>
        <v>13800</v>
      </c>
      <c r="E18" s="178">
        <v>2380.0</v>
      </c>
      <c r="F18" s="178">
        <v>2500.0</v>
      </c>
      <c r="G18" s="130"/>
      <c r="H18" s="130">
        <v>10.0</v>
      </c>
      <c r="I18" s="12"/>
      <c r="J18" s="12"/>
      <c r="K18" s="136">
        <f>D18/H19/12*3</f>
        <v>345</v>
      </c>
      <c r="L18" s="136">
        <f t="shared" ref="L18:L19" si="15">D18-K18</f>
        <v>13455</v>
      </c>
      <c r="M18" s="136">
        <f t="shared" si="12"/>
        <v>1380</v>
      </c>
      <c r="N18" s="136">
        <f t="shared" si="9"/>
        <v>12075</v>
      </c>
      <c r="O18" s="136">
        <f t="shared" si="13"/>
        <v>1380</v>
      </c>
      <c r="P18" s="136">
        <f t="shared" si="10"/>
        <v>10695</v>
      </c>
      <c r="Q18" s="136">
        <f t="shared" si="14"/>
        <v>1380</v>
      </c>
      <c r="R18" s="136">
        <f t="shared" si="11"/>
        <v>9315</v>
      </c>
      <c r="S18" s="136">
        <f>D18/H19</f>
        <v>1380</v>
      </c>
      <c r="T18" s="136">
        <f t="shared" ref="T18:T20" si="16">R18-S18</f>
        <v>7935</v>
      </c>
      <c r="U18" s="12"/>
      <c r="V18" s="12"/>
      <c r="W18" s="12"/>
      <c r="X18" s="12"/>
      <c r="Y18" s="12"/>
      <c r="Z18" s="12"/>
      <c r="AA18" s="12"/>
      <c r="AB18" s="12"/>
      <c r="AC18" s="12"/>
    </row>
    <row r="19" ht="15.75" customHeight="1">
      <c r="A19" s="166" t="s">
        <v>402</v>
      </c>
      <c r="B19" s="167" t="s">
        <v>399</v>
      </c>
      <c r="C19" s="168"/>
      <c r="D19" s="178"/>
      <c r="E19" s="178">
        <v>7200.0</v>
      </c>
      <c r="F19" s="178">
        <v>7500.0</v>
      </c>
      <c r="G19" s="130"/>
      <c r="H19" s="130">
        <v>10.0</v>
      </c>
      <c r="I19" s="12"/>
      <c r="J19" s="12"/>
      <c r="K19" s="136" t="str">
        <f>D19/#REF!/12*3</f>
        <v>#REF!</v>
      </c>
      <c r="L19" s="136" t="str">
        <f t="shared" si="15"/>
        <v>#REF!</v>
      </c>
      <c r="M19" s="136" t="str">
        <f>D19/#REF!</f>
        <v>#REF!</v>
      </c>
      <c r="N19" s="136" t="str">
        <f t="shared" si="9"/>
        <v>#REF!</v>
      </c>
      <c r="O19" s="136" t="str">
        <f>D19/#REF!</f>
        <v>#REF!</v>
      </c>
      <c r="P19" s="136" t="str">
        <f t="shared" si="10"/>
        <v>#REF!</v>
      </c>
      <c r="Q19" s="136" t="str">
        <f>D19/#REF!</f>
        <v>#REF!</v>
      </c>
      <c r="R19" s="136" t="str">
        <f t="shared" si="11"/>
        <v>#REF!</v>
      </c>
      <c r="S19" s="136" t="str">
        <f>D19/#REF!</f>
        <v>#REF!</v>
      </c>
      <c r="T19" s="136" t="str">
        <f t="shared" si="16"/>
        <v>#REF!</v>
      </c>
      <c r="U19" s="12"/>
      <c r="V19" s="12"/>
      <c r="W19" s="12"/>
      <c r="X19" s="12"/>
      <c r="Y19" s="12"/>
      <c r="Z19" s="12"/>
      <c r="AA19" s="12"/>
      <c r="AB19" s="12"/>
      <c r="AC19" s="12"/>
    </row>
    <row r="20">
      <c r="A20" s="166" t="s">
        <v>403</v>
      </c>
      <c r="B20" s="167" t="s">
        <v>404</v>
      </c>
      <c r="C20" s="179"/>
      <c r="D20" s="178"/>
      <c r="E20" s="178"/>
      <c r="F20" s="178">
        <v>5000.0</v>
      </c>
      <c r="G20" s="12"/>
      <c r="H20" s="130">
        <v>10.0</v>
      </c>
      <c r="I20" s="130"/>
      <c r="J20" s="130"/>
      <c r="K20" s="12"/>
      <c r="L20" s="12"/>
      <c r="M20" s="136">
        <f>D20/H21/12*3</f>
        <v>0</v>
      </c>
      <c r="N20" s="136">
        <f>D20-M20</f>
        <v>0</v>
      </c>
      <c r="O20" s="136">
        <f>D20/H21</f>
        <v>0</v>
      </c>
      <c r="P20" s="136">
        <f t="shared" si="10"/>
        <v>0</v>
      </c>
      <c r="Q20" s="136">
        <f>D20/H21</f>
        <v>0</v>
      </c>
      <c r="R20" s="136">
        <f t="shared" si="11"/>
        <v>0</v>
      </c>
      <c r="S20" s="136">
        <f>D20/H21</f>
        <v>0</v>
      </c>
      <c r="T20" s="136">
        <f t="shared" si="16"/>
        <v>0</v>
      </c>
      <c r="U20" s="136">
        <f>D20/H21</f>
        <v>0</v>
      </c>
      <c r="V20" s="136">
        <f>T20-U20</f>
        <v>0</v>
      </c>
      <c r="W20" s="12"/>
      <c r="X20" s="12"/>
      <c r="Y20" s="12"/>
      <c r="Z20" s="12"/>
      <c r="AA20" s="12"/>
      <c r="AB20" s="12"/>
      <c r="AC20" s="12"/>
    </row>
    <row r="21" ht="15.75" customHeight="1">
      <c r="A21" s="166" t="s">
        <v>405</v>
      </c>
      <c r="B21" s="174" t="s">
        <v>406</v>
      </c>
      <c r="C21" s="168"/>
      <c r="D21" s="175"/>
      <c r="E21" s="175"/>
      <c r="F21" s="175"/>
      <c r="G21" s="152" t="s">
        <v>386</v>
      </c>
      <c r="H21" s="152">
        <v>12.0</v>
      </c>
      <c r="I21" s="171">
        <f t="shared" ref="I21:R21" si="17">SUM(I23)</f>
        <v>0</v>
      </c>
      <c r="J21" s="171">
        <f t="shared" si="17"/>
        <v>0</v>
      </c>
      <c r="K21" s="171">
        <f t="shared" si="17"/>
        <v>0</v>
      </c>
      <c r="L21" s="171">
        <f t="shared" si="17"/>
        <v>0</v>
      </c>
      <c r="M21" s="171">
        <f t="shared" si="17"/>
        <v>0</v>
      </c>
      <c r="N21" s="171">
        <f t="shared" si="17"/>
        <v>0</v>
      </c>
      <c r="O21" s="171">
        <f t="shared" si="17"/>
        <v>0</v>
      </c>
      <c r="P21" s="171">
        <f t="shared" si="17"/>
        <v>0</v>
      </c>
      <c r="Q21" s="171">
        <f t="shared" si="17"/>
        <v>0</v>
      </c>
      <c r="R21" s="171">
        <f t="shared" si="17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ht="40.5" customHeight="1">
      <c r="A22" s="177" t="s">
        <v>407</v>
      </c>
      <c r="B22" s="174" t="s">
        <v>408</v>
      </c>
      <c r="C22" s="168"/>
      <c r="D22" s="175"/>
      <c r="E22" s="175">
        <v>2000.0</v>
      </c>
      <c r="F22" s="175"/>
      <c r="G22" s="152" t="s">
        <v>409</v>
      </c>
      <c r="H22" s="152">
        <v>12.0</v>
      </c>
      <c r="I22" s="171" t="str">
        <f>SUM(#REF!)</f>
        <v>#REF!</v>
      </c>
      <c r="J22" s="171"/>
      <c r="K22" s="171"/>
      <c r="L22" s="171"/>
      <c r="M22" s="171"/>
      <c r="N22" s="171"/>
      <c r="O22" s="171"/>
      <c r="P22" s="171"/>
      <c r="Q22" s="171"/>
      <c r="R22" s="17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ht="15.75" customHeight="1">
      <c r="A23" s="166" t="s">
        <v>410</v>
      </c>
      <c r="B23" s="174" t="s">
        <v>411</v>
      </c>
      <c r="C23" s="168"/>
      <c r="D23" s="169"/>
      <c r="E23" s="169"/>
      <c r="F23" s="169"/>
      <c r="G23" s="130" t="s">
        <v>386</v>
      </c>
      <c r="H23" s="130">
        <v>12.0</v>
      </c>
      <c r="I23" s="136">
        <f>D23/H23</f>
        <v>0</v>
      </c>
      <c r="J23" s="136">
        <f>D23-I23</f>
        <v>0</v>
      </c>
      <c r="K23" s="136">
        <f>D23/H23</f>
        <v>0</v>
      </c>
      <c r="L23" s="136">
        <f>J23-K23</f>
        <v>0</v>
      </c>
      <c r="M23" s="136">
        <f>D23/H23</f>
        <v>0</v>
      </c>
      <c r="N23" s="136">
        <f>L23-M23</f>
        <v>0</v>
      </c>
      <c r="O23" s="136">
        <f>D23/H23</f>
        <v>0</v>
      </c>
      <c r="P23" s="136">
        <f>N23-O23</f>
        <v>0</v>
      </c>
      <c r="Q23" s="136">
        <f>D23/H23</f>
        <v>0</v>
      </c>
      <c r="R23" s="136">
        <f>P23-Q23</f>
        <v>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30.75" customHeight="1">
      <c r="A24" s="166" t="s">
        <v>198</v>
      </c>
      <c r="B24" s="180" t="s">
        <v>412</v>
      </c>
      <c r="C24" s="168"/>
      <c r="D24" s="175"/>
      <c r="E24" s="175">
        <v>15000.0</v>
      </c>
      <c r="F24" s="175"/>
      <c r="G24" s="152" t="s">
        <v>395</v>
      </c>
      <c r="H24" s="152">
        <v>10.0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ht="30.75" customHeight="1">
      <c r="A25" s="166" t="s">
        <v>413</v>
      </c>
      <c r="B25" s="180" t="s">
        <v>414</v>
      </c>
      <c r="C25" s="168"/>
      <c r="D25" s="175"/>
      <c r="E25" s="175"/>
      <c r="F25" s="175"/>
      <c r="G25" s="152"/>
      <c r="H25" s="152">
        <v>20.0</v>
      </c>
      <c r="I25" s="12"/>
      <c r="J25" s="12"/>
      <c r="K25" s="171">
        <f>D25/H25</f>
        <v>0</v>
      </c>
      <c r="L25" s="171">
        <f>D25-K25</f>
        <v>0</v>
      </c>
      <c r="M25" s="171">
        <f>D25/H25</f>
        <v>0</v>
      </c>
      <c r="N25" s="171">
        <f>L25-M25</f>
        <v>0</v>
      </c>
      <c r="O25" s="171">
        <f>D25/H25</f>
        <v>0</v>
      </c>
      <c r="P25" s="171">
        <f>N25-O25</f>
        <v>0</v>
      </c>
      <c r="Q25" s="171">
        <f>D25/H25</f>
        <v>0</v>
      </c>
      <c r="R25" s="171">
        <f>P25-Q25</f>
        <v>0</v>
      </c>
      <c r="S25" s="171">
        <f>D25/H25</f>
        <v>0</v>
      </c>
      <c r="T25" s="171">
        <f>R25-S25</f>
        <v>0</v>
      </c>
      <c r="U25" s="5"/>
      <c r="V25" s="5"/>
      <c r="W25" s="5"/>
      <c r="X25" s="5"/>
      <c r="Y25" s="5"/>
      <c r="Z25" s="5"/>
      <c r="AA25" s="5"/>
      <c r="AB25" s="5"/>
      <c r="AC25" s="5"/>
    </row>
    <row r="26" ht="19.5" customHeight="1">
      <c r="A26" s="166" t="s">
        <v>415</v>
      </c>
      <c r="B26" s="180" t="s">
        <v>416</v>
      </c>
      <c r="C26" s="168"/>
      <c r="D26" s="175"/>
      <c r="E26" s="175"/>
      <c r="F26" s="175"/>
      <c r="G26" s="152"/>
      <c r="H26" s="152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ht="29.25" customHeight="1">
      <c r="A27" s="166" t="s">
        <v>417</v>
      </c>
      <c r="B27" s="180" t="s">
        <v>418</v>
      </c>
      <c r="C27" s="168"/>
      <c r="D27" s="175"/>
      <c r="E27" s="175">
        <v>5000.0</v>
      </c>
      <c r="F27" s="175"/>
      <c r="G27" s="12"/>
      <c r="H27" s="181">
        <v>8.0</v>
      </c>
      <c r="I27" s="12"/>
      <c r="J27" s="12"/>
      <c r="K27" s="171">
        <f t="shared" ref="K27:K28" si="18">D27/H27</f>
        <v>0</v>
      </c>
      <c r="L27" s="171">
        <f t="shared" ref="L27:L29" si="19">D27-K27</f>
        <v>0</v>
      </c>
      <c r="M27" s="171">
        <f t="shared" ref="M27:M30" si="20">D27/H27</f>
        <v>0</v>
      </c>
      <c r="N27" s="171">
        <f t="shared" ref="N27:N30" si="21">L27-M27</f>
        <v>0</v>
      </c>
      <c r="O27" s="171">
        <f t="shared" ref="O27:O30" si="22">D27/H27</f>
        <v>0</v>
      </c>
      <c r="P27" s="171">
        <f t="shared" ref="P27:P30" si="23">N27-O27</f>
        <v>0</v>
      </c>
      <c r="Q27" s="171">
        <f t="shared" ref="Q27:Q30" si="24">D27/H27</f>
        <v>0</v>
      </c>
      <c r="R27" s="171">
        <f t="shared" ref="R27:R30" si="25">P27-Q27</f>
        <v>0</v>
      </c>
      <c r="S27" s="171">
        <f t="shared" ref="S27:S29" si="26">D27/H27</f>
        <v>0</v>
      </c>
      <c r="T27" s="171">
        <f t="shared" ref="T27:T29" si="27">R27-S27</f>
        <v>0</v>
      </c>
      <c r="U27" s="12"/>
      <c r="V27" s="12"/>
      <c r="W27" s="12"/>
      <c r="X27" s="12"/>
      <c r="Y27" s="12"/>
      <c r="Z27" s="12"/>
      <c r="AA27" s="12"/>
      <c r="AB27" s="12"/>
      <c r="AC27" s="12"/>
    </row>
    <row r="28" ht="28.5" customHeight="1">
      <c r="A28" s="166" t="s">
        <v>419</v>
      </c>
      <c r="B28" s="180" t="s">
        <v>420</v>
      </c>
      <c r="C28" s="168"/>
      <c r="D28" s="175"/>
      <c r="E28" s="175"/>
      <c r="F28" s="175">
        <v>10000.0</v>
      </c>
      <c r="G28" s="12"/>
      <c r="H28" s="181">
        <v>20.0</v>
      </c>
      <c r="I28" s="12"/>
      <c r="J28" s="12"/>
      <c r="K28" s="171">
        <f t="shared" si="18"/>
        <v>0</v>
      </c>
      <c r="L28" s="171">
        <f t="shared" si="19"/>
        <v>0</v>
      </c>
      <c r="M28" s="171">
        <f t="shared" si="20"/>
        <v>0</v>
      </c>
      <c r="N28" s="171">
        <f t="shared" si="21"/>
        <v>0</v>
      </c>
      <c r="O28" s="171">
        <f t="shared" si="22"/>
        <v>0</v>
      </c>
      <c r="P28" s="171">
        <f t="shared" si="23"/>
        <v>0</v>
      </c>
      <c r="Q28" s="171">
        <f t="shared" si="24"/>
        <v>0</v>
      </c>
      <c r="R28" s="171">
        <f t="shared" si="25"/>
        <v>0</v>
      </c>
      <c r="S28" s="171">
        <f t="shared" si="26"/>
        <v>0</v>
      </c>
      <c r="T28" s="171">
        <f t="shared" si="27"/>
        <v>0</v>
      </c>
      <c r="U28" s="12"/>
      <c r="V28" s="12"/>
      <c r="W28" s="12"/>
      <c r="X28" s="12"/>
      <c r="Y28" s="12"/>
      <c r="Z28" s="12"/>
      <c r="AA28" s="12"/>
      <c r="AB28" s="12"/>
      <c r="AC28" s="12"/>
    </row>
    <row r="29" ht="15.75" customHeight="1">
      <c r="A29" s="166" t="s">
        <v>421</v>
      </c>
      <c r="B29" s="169" t="s">
        <v>422</v>
      </c>
      <c r="C29" s="168"/>
      <c r="D29" s="175"/>
      <c r="E29" s="175">
        <v>5000.0</v>
      </c>
      <c r="F29" s="175"/>
      <c r="G29" s="152" t="s">
        <v>386</v>
      </c>
      <c r="H29" s="152">
        <v>15.0</v>
      </c>
      <c r="I29" s="12"/>
      <c r="J29" s="12"/>
      <c r="K29" s="171">
        <f>D29/H29/12*7</f>
        <v>0</v>
      </c>
      <c r="L29" s="171">
        <f t="shared" si="19"/>
        <v>0</v>
      </c>
      <c r="M29" s="171">
        <f t="shared" si="20"/>
        <v>0</v>
      </c>
      <c r="N29" s="171">
        <f t="shared" si="21"/>
        <v>0</v>
      </c>
      <c r="O29" s="171">
        <f t="shared" si="22"/>
        <v>0</v>
      </c>
      <c r="P29" s="171">
        <f t="shared" si="23"/>
        <v>0</v>
      </c>
      <c r="Q29" s="171">
        <f t="shared" si="24"/>
        <v>0</v>
      </c>
      <c r="R29" s="171">
        <f t="shared" si="25"/>
        <v>0</v>
      </c>
      <c r="S29" s="171">
        <f t="shared" si="26"/>
        <v>0</v>
      </c>
      <c r="T29" s="171">
        <f t="shared" si="27"/>
        <v>0</v>
      </c>
      <c r="U29" s="5"/>
      <c r="V29" s="5"/>
      <c r="W29" s="5"/>
      <c r="X29" s="5"/>
      <c r="Y29" s="5"/>
      <c r="Z29" s="5"/>
      <c r="AA29" s="5"/>
      <c r="AB29" s="5"/>
      <c r="AC29" s="5"/>
    </row>
    <row r="30" ht="63.0" customHeight="1">
      <c r="A30" s="166" t="s">
        <v>423</v>
      </c>
      <c r="B30" s="182" t="s">
        <v>424</v>
      </c>
      <c r="C30" s="168"/>
      <c r="D30" s="175"/>
      <c r="E30" s="175">
        <v>8000.0</v>
      </c>
      <c r="F30" s="175"/>
      <c r="G30" s="152" t="s">
        <v>395</v>
      </c>
      <c r="H30" s="152">
        <v>10.0</v>
      </c>
      <c r="I30" s="171"/>
      <c r="J30" s="171"/>
      <c r="K30" s="171">
        <f>D30/H30</f>
        <v>0</v>
      </c>
      <c r="L30" s="171">
        <v>10800.0</v>
      </c>
      <c r="M30" s="171">
        <f t="shared" si="20"/>
        <v>0</v>
      </c>
      <c r="N30" s="171">
        <f t="shared" si="21"/>
        <v>10800</v>
      </c>
      <c r="O30" s="171">
        <f t="shared" si="22"/>
        <v>0</v>
      </c>
      <c r="P30" s="171">
        <f t="shared" si="23"/>
        <v>10800</v>
      </c>
      <c r="Q30" s="171">
        <f t="shared" si="24"/>
        <v>0</v>
      </c>
      <c r="R30" s="171">
        <f t="shared" si="25"/>
        <v>10800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ht="15.75" customHeight="1">
      <c r="A31" s="166"/>
      <c r="B31" s="167"/>
      <c r="C31" s="168"/>
      <c r="D31" s="169"/>
      <c r="E31" s="169"/>
      <c r="F31" s="169"/>
      <c r="G31" s="130"/>
      <c r="H31" s="130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15.75" customHeight="1">
      <c r="A32" s="172" t="s">
        <v>250</v>
      </c>
      <c r="B32" s="162" t="s">
        <v>425</v>
      </c>
      <c r="C32" s="163"/>
      <c r="D32" s="183">
        <f t="shared" ref="D32:F32" si="28">D33+D34+D48+D50+D54</f>
        <v>0</v>
      </c>
      <c r="E32" s="183">
        <f t="shared" si="28"/>
        <v>52450</v>
      </c>
      <c r="F32" s="183">
        <f t="shared" si="28"/>
        <v>1000</v>
      </c>
      <c r="G32" s="153" t="s">
        <v>391</v>
      </c>
      <c r="H32" s="153" t="s">
        <v>426</v>
      </c>
      <c r="I32" s="165">
        <f t="shared" ref="I32:R32" si="29">I33+I34+I48+I50+K54</f>
        <v>0</v>
      </c>
      <c r="J32" s="165">
        <f t="shared" si="29"/>
        <v>0</v>
      </c>
      <c r="K32" s="165">
        <f t="shared" si="29"/>
        <v>0</v>
      </c>
      <c r="L32" s="165">
        <f t="shared" si="29"/>
        <v>0</v>
      </c>
      <c r="M32" s="165">
        <f t="shared" si="29"/>
        <v>0</v>
      </c>
      <c r="N32" s="165">
        <f t="shared" si="29"/>
        <v>0</v>
      </c>
      <c r="O32" s="165">
        <f t="shared" si="29"/>
        <v>0</v>
      </c>
      <c r="P32" s="165">
        <f t="shared" si="29"/>
        <v>0</v>
      </c>
      <c r="Q32" s="165">
        <f t="shared" si="29"/>
        <v>0</v>
      </c>
      <c r="R32" s="165">
        <f t="shared" si="29"/>
        <v>0</v>
      </c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ht="15.75" customHeight="1">
      <c r="A33" s="166" t="s">
        <v>427</v>
      </c>
      <c r="B33" s="184" t="s">
        <v>428</v>
      </c>
      <c r="C33" s="168"/>
      <c r="D33" s="175"/>
      <c r="E33" s="175">
        <v>6000.0</v>
      </c>
      <c r="F33" s="175"/>
      <c r="G33" s="152" t="s">
        <v>386</v>
      </c>
      <c r="H33" s="152">
        <v>8.0</v>
      </c>
      <c r="I33" s="171">
        <f>D33/H33</f>
        <v>0</v>
      </c>
      <c r="J33" s="171">
        <f>D33-I33</f>
        <v>0</v>
      </c>
      <c r="K33" s="171">
        <f>D33/H33</f>
        <v>0</v>
      </c>
      <c r="L33" s="171">
        <f>J33-K33</f>
        <v>0</v>
      </c>
      <c r="M33" s="171">
        <f>D33/H33</f>
        <v>0</v>
      </c>
      <c r="N33" s="171">
        <f>L33-M33</f>
        <v>0</v>
      </c>
      <c r="O33" s="171">
        <f>D33/H33</f>
        <v>0</v>
      </c>
      <c r="P33" s="171">
        <f>N33-O33</f>
        <v>0</v>
      </c>
      <c r="Q33" s="171">
        <f>D33/H33</f>
        <v>0</v>
      </c>
      <c r="R33" s="171">
        <f>P33-Q33</f>
        <v>0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ht="15.75" customHeight="1">
      <c r="A34" s="166" t="s">
        <v>429</v>
      </c>
      <c r="B34" s="174" t="s">
        <v>430</v>
      </c>
      <c r="C34" s="168"/>
      <c r="D34" s="175"/>
      <c r="E34" s="175">
        <f t="shared" ref="E34:F34" si="30">SUM(E35:E49)</f>
        <v>28350</v>
      </c>
      <c r="F34" s="175">
        <f t="shared" si="30"/>
        <v>1000</v>
      </c>
      <c r="G34" s="152" t="s">
        <v>431</v>
      </c>
      <c r="H34" s="152" t="s">
        <v>426</v>
      </c>
      <c r="I34" s="171">
        <f t="shared" ref="I34:R34" si="31">SUM(I35:I46)</f>
        <v>0</v>
      </c>
      <c r="J34" s="171">
        <f t="shared" si="31"/>
        <v>0</v>
      </c>
      <c r="K34" s="171">
        <f t="shared" si="31"/>
        <v>0</v>
      </c>
      <c r="L34" s="171">
        <f t="shared" si="31"/>
        <v>0</v>
      </c>
      <c r="M34" s="171">
        <f t="shared" si="31"/>
        <v>0</v>
      </c>
      <c r="N34" s="171">
        <f t="shared" si="31"/>
        <v>0</v>
      </c>
      <c r="O34" s="171">
        <f t="shared" si="31"/>
        <v>0</v>
      </c>
      <c r="P34" s="171">
        <f t="shared" si="31"/>
        <v>0</v>
      </c>
      <c r="Q34" s="171">
        <f t="shared" si="31"/>
        <v>0</v>
      </c>
      <c r="R34" s="171">
        <f t="shared" si="31"/>
        <v>0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ht="15.75" customHeight="1">
      <c r="A35" s="166" t="s">
        <v>432</v>
      </c>
      <c r="B35" s="185" t="s">
        <v>433</v>
      </c>
      <c r="C35" s="168"/>
      <c r="D35" s="178"/>
      <c r="E35" s="178">
        <v>500.0</v>
      </c>
      <c r="F35" s="178"/>
      <c r="G35" s="130" t="s">
        <v>386</v>
      </c>
      <c r="H35" s="130">
        <v>6.0</v>
      </c>
      <c r="I35" s="136">
        <f t="shared" ref="I35:I46" si="32">D35/H35</f>
        <v>0</v>
      </c>
      <c r="J35" s="136">
        <f t="shared" ref="J35:J46" si="33">D35-I35</f>
        <v>0</v>
      </c>
      <c r="K35" s="136">
        <f t="shared" ref="K35:K46" si="34">D35/H35</f>
        <v>0</v>
      </c>
      <c r="L35" s="136">
        <f t="shared" ref="L35:L46" si="35">J35-K35</f>
        <v>0</v>
      </c>
      <c r="M35" s="136">
        <f t="shared" ref="M35:M46" si="36">D35/H35</f>
        <v>0</v>
      </c>
      <c r="N35" s="136">
        <f t="shared" ref="N35:N46" si="37">L35-M35</f>
        <v>0</v>
      </c>
      <c r="O35" s="136">
        <f t="shared" ref="O35:O46" si="38">D35/H35</f>
        <v>0</v>
      </c>
      <c r="P35" s="136">
        <f t="shared" ref="P35:P46" si="39">N35-O35</f>
        <v>0</v>
      </c>
      <c r="Q35" s="136">
        <f t="shared" ref="Q35:Q46" si="40">D35/H35</f>
        <v>0</v>
      </c>
      <c r="R35" s="136">
        <f t="shared" ref="R35:R46" si="41">P35-Q35</f>
        <v>0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15.75" customHeight="1">
      <c r="A36" s="166" t="s">
        <v>434</v>
      </c>
      <c r="B36" s="167" t="s">
        <v>435</v>
      </c>
      <c r="C36" s="168"/>
      <c r="D36" s="178"/>
      <c r="E36" s="178">
        <f>500</f>
        <v>500</v>
      </c>
      <c r="F36" s="178"/>
      <c r="G36" s="130" t="s">
        <v>386</v>
      </c>
      <c r="H36" s="130">
        <v>8.0</v>
      </c>
      <c r="I36" s="136">
        <f t="shared" si="32"/>
        <v>0</v>
      </c>
      <c r="J36" s="136">
        <f t="shared" si="33"/>
        <v>0</v>
      </c>
      <c r="K36" s="136">
        <f t="shared" si="34"/>
        <v>0</v>
      </c>
      <c r="L36" s="136">
        <f t="shared" si="35"/>
        <v>0</v>
      </c>
      <c r="M36" s="136">
        <f t="shared" si="36"/>
        <v>0</v>
      </c>
      <c r="N36" s="136">
        <f t="shared" si="37"/>
        <v>0</v>
      </c>
      <c r="O36" s="136">
        <f t="shared" si="38"/>
        <v>0</v>
      </c>
      <c r="P36" s="136">
        <f t="shared" si="39"/>
        <v>0</v>
      </c>
      <c r="Q36" s="136">
        <f t="shared" si="40"/>
        <v>0</v>
      </c>
      <c r="R36" s="136">
        <f t="shared" si="41"/>
        <v>0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15.75" customHeight="1">
      <c r="A37" s="166" t="s">
        <v>436</v>
      </c>
      <c r="B37" s="184" t="s">
        <v>437</v>
      </c>
      <c r="C37" s="168"/>
      <c r="D37" s="178"/>
      <c r="E37" s="178">
        <v>1400.0</v>
      </c>
      <c r="F37" s="178"/>
      <c r="G37" s="130" t="s">
        <v>386</v>
      </c>
      <c r="H37" s="130">
        <v>8.0</v>
      </c>
      <c r="I37" s="136">
        <f t="shared" si="32"/>
        <v>0</v>
      </c>
      <c r="J37" s="136">
        <f t="shared" si="33"/>
        <v>0</v>
      </c>
      <c r="K37" s="136">
        <f t="shared" si="34"/>
        <v>0</v>
      </c>
      <c r="L37" s="136">
        <f t="shared" si="35"/>
        <v>0</v>
      </c>
      <c r="M37" s="136">
        <f t="shared" si="36"/>
        <v>0</v>
      </c>
      <c r="N37" s="136">
        <f t="shared" si="37"/>
        <v>0</v>
      </c>
      <c r="O37" s="136">
        <f t="shared" si="38"/>
        <v>0</v>
      </c>
      <c r="P37" s="136">
        <f t="shared" si="39"/>
        <v>0</v>
      </c>
      <c r="Q37" s="136">
        <f t="shared" si="40"/>
        <v>0</v>
      </c>
      <c r="R37" s="136">
        <f t="shared" si="41"/>
        <v>0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15.75" customHeight="1">
      <c r="A38" s="166" t="s">
        <v>438</v>
      </c>
      <c r="B38" s="167" t="s">
        <v>439</v>
      </c>
      <c r="C38" s="168"/>
      <c r="D38" s="178"/>
      <c r="E38" s="178">
        <f>1700+800+800+800</f>
        <v>4100</v>
      </c>
      <c r="F38" s="178"/>
      <c r="G38" s="130" t="s">
        <v>386</v>
      </c>
      <c r="H38" s="130">
        <v>6.0</v>
      </c>
      <c r="I38" s="136">
        <f t="shared" si="32"/>
        <v>0</v>
      </c>
      <c r="J38" s="136">
        <f t="shared" si="33"/>
        <v>0</v>
      </c>
      <c r="K38" s="136">
        <f t="shared" si="34"/>
        <v>0</v>
      </c>
      <c r="L38" s="136">
        <f t="shared" si="35"/>
        <v>0</v>
      </c>
      <c r="M38" s="136">
        <f t="shared" si="36"/>
        <v>0</v>
      </c>
      <c r="N38" s="136">
        <f t="shared" si="37"/>
        <v>0</v>
      </c>
      <c r="O38" s="136">
        <f t="shared" si="38"/>
        <v>0</v>
      </c>
      <c r="P38" s="136">
        <f t="shared" si="39"/>
        <v>0</v>
      </c>
      <c r="Q38" s="136">
        <f t="shared" si="40"/>
        <v>0</v>
      </c>
      <c r="R38" s="136">
        <f t="shared" si="41"/>
        <v>0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15.75" customHeight="1">
      <c r="A39" s="166" t="s">
        <v>440</v>
      </c>
      <c r="B39" s="167" t="s">
        <v>441</v>
      </c>
      <c r="C39" s="168"/>
      <c r="D39" s="178"/>
      <c r="E39" s="178">
        <v>2000.0</v>
      </c>
      <c r="F39" s="178"/>
      <c r="G39" s="130" t="s">
        <v>386</v>
      </c>
      <c r="H39" s="130">
        <v>10.0</v>
      </c>
      <c r="I39" s="136">
        <f t="shared" si="32"/>
        <v>0</v>
      </c>
      <c r="J39" s="136">
        <f t="shared" si="33"/>
        <v>0</v>
      </c>
      <c r="K39" s="136">
        <f t="shared" si="34"/>
        <v>0</v>
      </c>
      <c r="L39" s="136">
        <f t="shared" si="35"/>
        <v>0</v>
      </c>
      <c r="M39" s="136">
        <f t="shared" si="36"/>
        <v>0</v>
      </c>
      <c r="N39" s="136">
        <f t="shared" si="37"/>
        <v>0</v>
      </c>
      <c r="O39" s="136">
        <f t="shared" si="38"/>
        <v>0</v>
      </c>
      <c r="P39" s="136">
        <f t="shared" si="39"/>
        <v>0</v>
      </c>
      <c r="Q39" s="136">
        <f t="shared" si="40"/>
        <v>0</v>
      </c>
      <c r="R39" s="136">
        <f t="shared" si="41"/>
        <v>0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15.75" customHeight="1">
      <c r="A40" s="166" t="s">
        <v>442</v>
      </c>
      <c r="B40" s="167" t="s">
        <v>443</v>
      </c>
      <c r="C40" s="168"/>
      <c r="D40" s="178"/>
      <c r="E40" s="178">
        <v>4000.0</v>
      </c>
      <c r="F40" s="178"/>
      <c r="G40" s="130" t="s">
        <v>386</v>
      </c>
      <c r="H40" s="130">
        <v>8.0</v>
      </c>
      <c r="I40" s="136">
        <f t="shared" si="32"/>
        <v>0</v>
      </c>
      <c r="J40" s="136">
        <f t="shared" si="33"/>
        <v>0</v>
      </c>
      <c r="K40" s="136">
        <f t="shared" si="34"/>
        <v>0</v>
      </c>
      <c r="L40" s="136">
        <f t="shared" si="35"/>
        <v>0</v>
      </c>
      <c r="M40" s="136">
        <f t="shared" si="36"/>
        <v>0</v>
      </c>
      <c r="N40" s="136">
        <f t="shared" si="37"/>
        <v>0</v>
      </c>
      <c r="O40" s="136">
        <f t="shared" si="38"/>
        <v>0</v>
      </c>
      <c r="P40" s="136">
        <f t="shared" si="39"/>
        <v>0</v>
      </c>
      <c r="Q40" s="136">
        <f t="shared" si="40"/>
        <v>0</v>
      </c>
      <c r="R40" s="136">
        <f t="shared" si="41"/>
        <v>0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15.75" customHeight="1">
      <c r="A41" s="166" t="s">
        <v>444</v>
      </c>
      <c r="B41" s="167" t="s">
        <v>445</v>
      </c>
      <c r="C41" s="168"/>
      <c r="D41" s="178"/>
      <c r="E41" s="178">
        <v>2750.0</v>
      </c>
      <c r="F41" s="178"/>
      <c r="G41" s="130" t="s">
        <v>395</v>
      </c>
      <c r="H41" s="130">
        <v>8.0</v>
      </c>
      <c r="I41" s="136">
        <f t="shared" si="32"/>
        <v>0</v>
      </c>
      <c r="J41" s="136">
        <f t="shared" si="33"/>
        <v>0</v>
      </c>
      <c r="K41" s="136">
        <f t="shared" si="34"/>
        <v>0</v>
      </c>
      <c r="L41" s="136">
        <f t="shared" si="35"/>
        <v>0</v>
      </c>
      <c r="M41" s="136">
        <f t="shared" si="36"/>
        <v>0</v>
      </c>
      <c r="N41" s="136">
        <f t="shared" si="37"/>
        <v>0</v>
      </c>
      <c r="O41" s="136">
        <f t="shared" si="38"/>
        <v>0</v>
      </c>
      <c r="P41" s="136">
        <f t="shared" si="39"/>
        <v>0</v>
      </c>
      <c r="Q41" s="136">
        <f t="shared" si="40"/>
        <v>0</v>
      </c>
      <c r="R41" s="136">
        <f t="shared" si="41"/>
        <v>0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15.75" customHeight="1">
      <c r="A42" s="166" t="s">
        <v>446</v>
      </c>
      <c r="B42" s="167" t="s">
        <v>447</v>
      </c>
      <c r="C42" s="168"/>
      <c r="D42" s="178"/>
      <c r="E42" s="178">
        <v>2000.0</v>
      </c>
      <c r="F42" s="178"/>
      <c r="G42" s="130" t="s">
        <v>386</v>
      </c>
      <c r="H42" s="130">
        <v>6.0</v>
      </c>
      <c r="I42" s="136">
        <f t="shared" si="32"/>
        <v>0</v>
      </c>
      <c r="J42" s="136">
        <f t="shared" si="33"/>
        <v>0</v>
      </c>
      <c r="K42" s="136">
        <f t="shared" si="34"/>
        <v>0</v>
      </c>
      <c r="L42" s="136">
        <f t="shared" si="35"/>
        <v>0</v>
      </c>
      <c r="M42" s="136">
        <f t="shared" si="36"/>
        <v>0</v>
      </c>
      <c r="N42" s="136">
        <f t="shared" si="37"/>
        <v>0</v>
      </c>
      <c r="O42" s="136">
        <f t="shared" si="38"/>
        <v>0</v>
      </c>
      <c r="P42" s="136">
        <f t="shared" si="39"/>
        <v>0</v>
      </c>
      <c r="Q42" s="136">
        <f t="shared" si="40"/>
        <v>0</v>
      </c>
      <c r="R42" s="136">
        <f t="shared" si="41"/>
        <v>0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15.75" customHeight="1">
      <c r="A43" s="166" t="s">
        <v>448</v>
      </c>
      <c r="B43" s="167" t="s">
        <v>449</v>
      </c>
      <c r="C43" s="168"/>
      <c r="D43" s="178"/>
      <c r="E43" s="178">
        <v>3400.0</v>
      </c>
      <c r="F43" s="178"/>
      <c r="G43" s="130" t="s">
        <v>386</v>
      </c>
      <c r="H43" s="130">
        <v>8.0</v>
      </c>
      <c r="I43" s="136">
        <f t="shared" si="32"/>
        <v>0</v>
      </c>
      <c r="J43" s="136">
        <f t="shared" si="33"/>
        <v>0</v>
      </c>
      <c r="K43" s="136">
        <f t="shared" si="34"/>
        <v>0</v>
      </c>
      <c r="L43" s="136">
        <f t="shared" si="35"/>
        <v>0</v>
      </c>
      <c r="M43" s="136">
        <f t="shared" si="36"/>
        <v>0</v>
      </c>
      <c r="N43" s="136">
        <f t="shared" si="37"/>
        <v>0</v>
      </c>
      <c r="O43" s="136">
        <f t="shared" si="38"/>
        <v>0</v>
      </c>
      <c r="P43" s="136">
        <f t="shared" si="39"/>
        <v>0</v>
      </c>
      <c r="Q43" s="136">
        <f t="shared" si="40"/>
        <v>0</v>
      </c>
      <c r="R43" s="136">
        <f t="shared" si="41"/>
        <v>0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15.75" customHeight="1">
      <c r="A44" s="166" t="s">
        <v>450</v>
      </c>
      <c r="B44" s="167" t="s">
        <v>439</v>
      </c>
      <c r="C44" s="168"/>
      <c r="D44" s="178"/>
      <c r="E44" s="178">
        <v>2700.0</v>
      </c>
      <c r="F44" s="178"/>
      <c r="G44" s="130" t="s">
        <v>386</v>
      </c>
      <c r="H44" s="130">
        <v>6.0</v>
      </c>
      <c r="I44" s="136">
        <f t="shared" si="32"/>
        <v>0</v>
      </c>
      <c r="J44" s="136">
        <f t="shared" si="33"/>
        <v>0</v>
      </c>
      <c r="K44" s="136">
        <f t="shared" si="34"/>
        <v>0</v>
      </c>
      <c r="L44" s="136">
        <f t="shared" si="35"/>
        <v>0</v>
      </c>
      <c r="M44" s="136">
        <f t="shared" si="36"/>
        <v>0</v>
      </c>
      <c r="N44" s="136">
        <f t="shared" si="37"/>
        <v>0</v>
      </c>
      <c r="O44" s="136">
        <f t="shared" si="38"/>
        <v>0</v>
      </c>
      <c r="P44" s="136">
        <f t="shared" si="39"/>
        <v>0</v>
      </c>
      <c r="Q44" s="136">
        <f t="shared" si="40"/>
        <v>0</v>
      </c>
      <c r="R44" s="136">
        <f t="shared" si="41"/>
        <v>0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15.75" customHeight="1">
      <c r="A45" s="166" t="s">
        <v>451</v>
      </c>
      <c r="B45" s="167" t="s">
        <v>452</v>
      </c>
      <c r="C45" s="168"/>
      <c r="D45" s="178"/>
      <c r="E45" s="176"/>
      <c r="F45" s="178">
        <v>1000.0</v>
      </c>
      <c r="G45" s="130" t="s">
        <v>386</v>
      </c>
      <c r="H45" s="130">
        <v>8.0</v>
      </c>
      <c r="I45" s="136">
        <f t="shared" si="32"/>
        <v>0</v>
      </c>
      <c r="J45" s="136">
        <f t="shared" si="33"/>
        <v>0</v>
      </c>
      <c r="K45" s="136">
        <f t="shared" si="34"/>
        <v>0</v>
      </c>
      <c r="L45" s="136">
        <f t="shared" si="35"/>
        <v>0</v>
      </c>
      <c r="M45" s="136">
        <f t="shared" si="36"/>
        <v>0</v>
      </c>
      <c r="N45" s="136">
        <f t="shared" si="37"/>
        <v>0</v>
      </c>
      <c r="O45" s="136">
        <f t="shared" si="38"/>
        <v>0</v>
      </c>
      <c r="P45" s="136">
        <f t="shared" si="39"/>
        <v>0</v>
      </c>
      <c r="Q45" s="136">
        <f t="shared" si="40"/>
        <v>0</v>
      </c>
      <c r="R45" s="136">
        <f t="shared" si="41"/>
        <v>0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15.75" customHeight="1">
      <c r="A46" s="166" t="s">
        <v>453</v>
      </c>
      <c r="B46" s="167"/>
      <c r="C46" s="168"/>
      <c r="D46" s="178"/>
      <c r="E46" s="178">
        <v>2000.0</v>
      </c>
      <c r="F46" s="178"/>
      <c r="G46" s="130" t="s">
        <v>395</v>
      </c>
      <c r="H46" s="130">
        <v>8.0</v>
      </c>
      <c r="I46" s="136">
        <f t="shared" si="32"/>
        <v>0</v>
      </c>
      <c r="J46" s="136">
        <f t="shared" si="33"/>
        <v>0</v>
      </c>
      <c r="K46" s="136">
        <f t="shared" si="34"/>
        <v>0</v>
      </c>
      <c r="L46" s="136">
        <f t="shared" si="35"/>
        <v>0</v>
      </c>
      <c r="M46" s="136">
        <f t="shared" si="36"/>
        <v>0</v>
      </c>
      <c r="N46" s="136">
        <f t="shared" si="37"/>
        <v>0</v>
      </c>
      <c r="O46" s="136">
        <f t="shared" si="38"/>
        <v>0</v>
      </c>
      <c r="P46" s="136">
        <f t="shared" si="39"/>
        <v>0</v>
      </c>
      <c r="Q46" s="136">
        <f t="shared" si="40"/>
        <v>0</v>
      </c>
      <c r="R46" s="136">
        <f t="shared" si="41"/>
        <v>0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15.75" customHeight="1">
      <c r="A47" s="166" t="s">
        <v>454</v>
      </c>
      <c r="B47" s="167"/>
      <c r="C47" s="179"/>
      <c r="D47" s="178"/>
      <c r="E47" s="178">
        <v>2000.0</v>
      </c>
      <c r="F47" s="178"/>
      <c r="G47" s="12"/>
      <c r="H47" s="12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15.75" customHeight="1">
      <c r="A48" s="177" t="s">
        <v>455</v>
      </c>
      <c r="B48" s="184" t="s">
        <v>456</v>
      </c>
      <c r="C48" s="168"/>
      <c r="D48" s="178"/>
      <c r="E48" s="178"/>
      <c r="F48" s="178"/>
      <c r="G48" s="152" t="s">
        <v>431</v>
      </c>
      <c r="H48" s="130">
        <v>10.0</v>
      </c>
      <c r="I48" s="136">
        <f>D48/H48</f>
        <v>0</v>
      </c>
      <c r="J48" s="136">
        <f>D48-I48</f>
        <v>0</v>
      </c>
      <c r="K48" s="136">
        <f>D48/H48</f>
        <v>0</v>
      </c>
      <c r="L48" s="136">
        <f>J48-K48</f>
        <v>0</v>
      </c>
      <c r="M48" s="136">
        <f>D48/H48</f>
        <v>0</v>
      </c>
      <c r="N48" s="136">
        <f>L48-M48</f>
        <v>0</v>
      </c>
      <c r="O48" s="136">
        <f>D48/H48</f>
        <v>0</v>
      </c>
      <c r="P48" s="136">
        <f>N48-O48</f>
        <v>0</v>
      </c>
      <c r="Q48" s="136">
        <f>D48/H48</f>
        <v>0</v>
      </c>
      <c r="R48" s="136">
        <f>P48-Q48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ht="15.75" customHeight="1">
      <c r="A49" s="167" t="s">
        <v>432</v>
      </c>
      <c r="B49" s="167" t="s">
        <v>457</v>
      </c>
      <c r="C49" s="179"/>
      <c r="D49" s="169"/>
      <c r="E49" s="169">
        <v>1000.0</v>
      </c>
      <c r="F49" s="169"/>
      <c r="G49" s="12"/>
      <c r="H49" s="12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15.75" customHeight="1">
      <c r="A50" s="166" t="s">
        <v>458</v>
      </c>
      <c r="B50" s="184" t="s">
        <v>459</v>
      </c>
      <c r="C50" s="168"/>
      <c r="D50" s="175"/>
      <c r="E50" s="175">
        <f>SUM(E51:E53)</f>
        <v>3100</v>
      </c>
      <c r="F50" s="175"/>
      <c r="G50" s="152" t="s">
        <v>431</v>
      </c>
      <c r="H50" s="152">
        <v>10.0</v>
      </c>
      <c r="I50" s="171">
        <f t="shared" ref="I50:R50" si="42">SUM(I51:I52)</f>
        <v>0</v>
      </c>
      <c r="J50" s="171">
        <f t="shared" si="42"/>
        <v>0</v>
      </c>
      <c r="K50" s="171">
        <f t="shared" si="42"/>
        <v>0</v>
      </c>
      <c r="L50" s="171">
        <f t="shared" si="42"/>
        <v>0</v>
      </c>
      <c r="M50" s="171">
        <f t="shared" si="42"/>
        <v>0</v>
      </c>
      <c r="N50" s="171">
        <f t="shared" si="42"/>
        <v>0</v>
      </c>
      <c r="O50" s="171">
        <f t="shared" si="42"/>
        <v>0</v>
      </c>
      <c r="P50" s="171">
        <f t="shared" si="42"/>
        <v>0</v>
      </c>
      <c r="Q50" s="171">
        <f t="shared" si="42"/>
        <v>0</v>
      </c>
      <c r="R50" s="171">
        <f t="shared" si="42"/>
        <v>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ht="15.75" customHeight="1">
      <c r="A51" s="166" t="s">
        <v>460</v>
      </c>
      <c r="B51" s="184" t="s">
        <v>461</v>
      </c>
      <c r="C51" s="168"/>
      <c r="D51" s="178"/>
      <c r="E51" s="178">
        <v>2000.0</v>
      </c>
      <c r="F51" s="178"/>
      <c r="G51" s="130" t="s">
        <v>386</v>
      </c>
      <c r="H51" s="130">
        <v>8.0</v>
      </c>
      <c r="I51" s="136">
        <f t="shared" ref="I51:I52" si="43">D51/H51</f>
        <v>0</v>
      </c>
      <c r="J51" s="136">
        <f t="shared" ref="J51:J52" si="44">D51-I51</f>
        <v>0</v>
      </c>
      <c r="K51" s="136">
        <f t="shared" ref="K51:K52" si="45">D51/H51</f>
        <v>0</v>
      </c>
      <c r="L51" s="136">
        <f t="shared" ref="L51:L52" si="46">J51-K51</f>
        <v>0</v>
      </c>
      <c r="M51" s="136">
        <f t="shared" ref="M51:M52" si="47">D51/H51</f>
        <v>0</v>
      </c>
      <c r="N51" s="136">
        <f t="shared" ref="N51:N52" si="48">L51-M51</f>
        <v>0</v>
      </c>
      <c r="O51" s="136">
        <f t="shared" ref="O51:O52" si="49">D51/H51</f>
        <v>0</v>
      </c>
      <c r="P51" s="136">
        <f t="shared" ref="P51:P52" si="50">N51-O51</f>
        <v>0</v>
      </c>
      <c r="Q51" s="136">
        <f t="shared" ref="Q51:Q52" si="51">D51/H51</f>
        <v>0</v>
      </c>
      <c r="R51" s="136">
        <f t="shared" ref="R51:R52" si="52">P51-Q51</f>
        <v>0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15.75" customHeight="1">
      <c r="A52" s="166" t="s">
        <v>462</v>
      </c>
      <c r="B52" s="184" t="s">
        <v>463</v>
      </c>
      <c r="C52" s="168"/>
      <c r="D52" s="178"/>
      <c r="E52" s="178">
        <v>600.0</v>
      </c>
      <c r="F52" s="178"/>
      <c r="G52" s="130" t="s">
        <v>395</v>
      </c>
      <c r="H52" s="130">
        <v>11.0</v>
      </c>
      <c r="I52" s="136">
        <f t="shared" si="43"/>
        <v>0</v>
      </c>
      <c r="J52" s="136">
        <f t="shared" si="44"/>
        <v>0</v>
      </c>
      <c r="K52" s="136">
        <f t="shared" si="45"/>
        <v>0</v>
      </c>
      <c r="L52" s="136">
        <f t="shared" si="46"/>
        <v>0</v>
      </c>
      <c r="M52" s="136">
        <f t="shared" si="47"/>
        <v>0</v>
      </c>
      <c r="N52" s="136">
        <f t="shared" si="48"/>
        <v>0</v>
      </c>
      <c r="O52" s="136">
        <f t="shared" si="49"/>
        <v>0</v>
      </c>
      <c r="P52" s="136">
        <f t="shared" si="50"/>
        <v>0</v>
      </c>
      <c r="Q52" s="136">
        <f t="shared" si="51"/>
        <v>0</v>
      </c>
      <c r="R52" s="136">
        <f t="shared" si="52"/>
        <v>0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15.75" customHeight="1">
      <c r="A53" s="184" t="s">
        <v>464</v>
      </c>
      <c r="B53" s="167"/>
      <c r="C53" s="179"/>
      <c r="D53" s="178"/>
      <c r="E53" s="178">
        <v>500.0</v>
      </c>
      <c r="F53" s="178"/>
      <c r="G53" s="12"/>
      <c r="H53" s="1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15.75" customHeight="1">
      <c r="A54" s="184" t="s">
        <v>465</v>
      </c>
      <c r="B54" s="174" t="s">
        <v>466</v>
      </c>
      <c r="C54" s="168"/>
      <c r="D54" s="175"/>
      <c r="E54" s="175">
        <v>15000.0</v>
      </c>
      <c r="F54" s="175"/>
      <c r="G54" s="152" t="s">
        <v>467</v>
      </c>
      <c r="H54" s="152">
        <v>4.0</v>
      </c>
      <c r="I54" s="12"/>
      <c r="J54" s="12"/>
      <c r="K54" s="171">
        <f>D54/H54</f>
        <v>0</v>
      </c>
      <c r="L54" s="171">
        <f>D54-K54</f>
        <v>0</v>
      </c>
      <c r="M54" s="171">
        <f>D54/H54</f>
        <v>0</v>
      </c>
      <c r="N54" s="171">
        <f>L54-M54</f>
        <v>0</v>
      </c>
      <c r="O54" s="171">
        <f>D54/H54</f>
        <v>0</v>
      </c>
      <c r="P54" s="171">
        <f>N54-O54</f>
        <v>0</v>
      </c>
      <c r="Q54" s="171">
        <f>D54/H54</f>
        <v>0</v>
      </c>
      <c r="R54" s="171">
        <f>P54-Q54</f>
        <v>0</v>
      </c>
      <c r="S54" s="171">
        <v>0.0</v>
      </c>
      <c r="T54" s="171">
        <v>0.0</v>
      </c>
      <c r="U54" s="5"/>
      <c r="V54" s="5"/>
      <c r="W54" s="5"/>
      <c r="X54" s="5"/>
      <c r="Y54" s="5"/>
      <c r="Z54" s="5"/>
      <c r="AA54" s="5"/>
      <c r="AB54" s="5"/>
      <c r="AC54" s="5"/>
    </row>
    <row r="55" ht="15.75" customHeight="1">
      <c r="A55" s="167"/>
      <c r="B55" s="167"/>
      <c r="C55" s="179"/>
      <c r="D55" s="186"/>
      <c r="E55" s="186"/>
      <c r="F55" s="186"/>
      <c r="G55" s="12"/>
      <c r="H55" s="12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2.5" customHeight="1">
      <c r="A56" s="172" t="s">
        <v>251</v>
      </c>
      <c r="B56" s="161" t="s">
        <v>468</v>
      </c>
      <c r="C56" s="187"/>
      <c r="D56" s="188"/>
      <c r="E56" s="188">
        <f t="shared" ref="E56:F56" si="53">E58+E64+E70+E72+E74</f>
        <v>13632.9</v>
      </c>
      <c r="F56" s="188">
        <f t="shared" si="53"/>
        <v>2000</v>
      </c>
      <c r="G56" s="153" t="s">
        <v>391</v>
      </c>
      <c r="H56" s="153" t="s">
        <v>469</v>
      </c>
      <c r="I56" s="165">
        <f>I58+I64+I70+I72+I74</f>
        <v>0</v>
      </c>
      <c r="J56" s="165">
        <f>J58+J64+J70+J72+J76</f>
        <v>0</v>
      </c>
      <c r="K56" s="165">
        <f>K58+K64+K70+K72+K74</f>
        <v>0</v>
      </c>
      <c r="L56" s="165">
        <f t="shared" ref="L56:R56" si="54">L58+L64+L70+L72+L76</f>
        <v>0</v>
      </c>
      <c r="M56" s="165">
        <f t="shared" si="54"/>
        <v>0</v>
      </c>
      <c r="N56" s="165">
        <f t="shared" si="54"/>
        <v>0</v>
      </c>
      <c r="O56" s="165">
        <f t="shared" si="54"/>
        <v>0</v>
      </c>
      <c r="P56" s="165">
        <f t="shared" si="54"/>
        <v>0</v>
      </c>
      <c r="Q56" s="165">
        <f t="shared" si="54"/>
        <v>0</v>
      </c>
      <c r="R56" s="165">
        <f t="shared" si="54"/>
        <v>0</v>
      </c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ht="15.75" customHeight="1">
      <c r="A57" s="167"/>
      <c r="B57" s="167"/>
      <c r="C57" s="179"/>
      <c r="D57" s="189"/>
      <c r="E57" s="189"/>
      <c r="F57" s="189"/>
      <c r="G57" s="12"/>
      <c r="H57" s="12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15.75" customHeight="1">
      <c r="A58" s="190" t="s">
        <v>470</v>
      </c>
      <c r="B58" s="191" t="s">
        <v>471</v>
      </c>
      <c r="C58" s="192"/>
      <c r="D58" s="193"/>
      <c r="E58" s="193">
        <f>SUM(E59:E63)</f>
        <v>6473</v>
      </c>
      <c r="F58" s="193"/>
      <c r="G58" s="152" t="s">
        <v>472</v>
      </c>
      <c r="H58" s="152" t="s">
        <v>473</v>
      </c>
      <c r="I58" s="171">
        <f t="shared" ref="I58:R58" si="55">SUM(I59:I61)</f>
        <v>0</v>
      </c>
      <c r="J58" s="171">
        <f t="shared" si="55"/>
        <v>0</v>
      </c>
      <c r="K58" s="171">
        <f t="shared" si="55"/>
        <v>0</v>
      </c>
      <c r="L58" s="171">
        <f t="shared" si="55"/>
        <v>0</v>
      </c>
      <c r="M58" s="171">
        <f t="shared" si="55"/>
        <v>0</v>
      </c>
      <c r="N58" s="171">
        <f t="shared" si="55"/>
        <v>0</v>
      </c>
      <c r="O58" s="171">
        <f t="shared" si="55"/>
        <v>0</v>
      </c>
      <c r="P58" s="171">
        <f t="shared" si="55"/>
        <v>0</v>
      </c>
      <c r="Q58" s="171">
        <f t="shared" si="55"/>
        <v>0</v>
      </c>
      <c r="R58" s="171">
        <f t="shared" si="55"/>
        <v>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ht="15.75" customHeight="1">
      <c r="A59" s="166" t="s">
        <v>474</v>
      </c>
      <c r="B59" s="185" t="s">
        <v>475</v>
      </c>
      <c r="C59" s="168"/>
      <c r="D59" s="194"/>
      <c r="E59" s="194">
        <f>596+650+420+142+1410</f>
        <v>3218</v>
      </c>
      <c r="F59" s="194"/>
      <c r="G59" s="130" t="s">
        <v>472</v>
      </c>
      <c r="H59" s="130">
        <v>5.0</v>
      </c>
      <c r="I59" s="136">
        <f t="shared" ref="I59:I62" si="56">D59/H59</f>
        <v>0</v>
      </c>
      <c r="J59" s="136">
        <f t="shared" ref="J59:J62" si="57">D59-I59</f>
        <v>0</v>
      </c>
      <c r="K59" s="136">
        <f t="shared" ref="K59:K62" si="58">D59/H59</f>
        <v>0</v>
      </c>
      <c r="L59" s="136">
        <f t="shared" ref="L59:L62" si="59">J59-K59</f>
        <v>0</v>
      </c>
      <c r="M59" s="136">
        <f t="shared" ref="M59:M62" si="60">D59/H59</f>
        <v>0</v>
      </c>
      <c r="N59" s="136">
        <f t="shared" ref="N59:N62" si="61">L59-M59</f>
        <v>0</v>
      </c>
      <c r="O59" s="136">
        <f t="shared" ref="O59:O60" si="62">D59/H59</f>
        <v>0</v>
      </c>
      <c r="P59" s="136">
        <f t="shared" ref="P59:P62" si="63">N59-O59</f>
        <v>0</v>
      </c>
      <c r="Q59" s="136">
        <f t="shared" ref="Q59:Q60" si="64">D59/H59</f>
        <v>0</v>
      </c>
      <c r="R59" s="136">
        <f t="shared" ref="R59:R62" si="65">P59-Q59</f>
        <v>0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15.75" customHeight="1">
      <c r="A60" s="166" t="s">
        <v>476</v>
      </c>
      <c r="B60" s="185" t="s">
        <v>477</v>
      </c>
      <c r="C60" s="168"/>
      <c r="D60" s="194"/>
      <c r="E60" s="194">
        <f>355</f>
        <v>355</v>
      </c>
      <c r="F60" s="194"/>
      <c r="G60" s="130" t="s">
        <v>472</v>
      </c>
      <c r="H60" s="130">
        <v>5.0</v>
      </c>
      <c r="I60" s="136">
        <f t="shared" si="56"/>
        <v>0</v>
      </c>
      <c r="J60" s="136">
        <f t="shared" si="57"/>
        <v>0</v>
      </c>
      <c r="K60" s="136">
        <f t="shared" si="58"/>
        <v>0</v>
      </c>
      <c r="L60" s="136">
        <f t="shared" si="59"/>
        <v>0</v>
      </c>
      <c r="M60" s="136">
        <f t="shared" si="60"/>
        <v>0</v>
      </c>
      <c r="N60" s="136">
        <f t="shared" si="61"/>
        <v>0</v>
      </c>
      <c r="O60" s="136">
        <f t="shared" si="62"/>
        <v>0</v>
      </c>
      <c r="P60" s="136">
        <f t="shared" si="63"/>
        <v>0</v>
      </c>
      <c r="Q60" s="136">
        <f t="shared" si="64"/>
        <v>0</v>
      </c>
      <c r="R60" s="136">
        <f t="shared" si="65"/>
        <v>0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15.75" customHeight="1">
      <c r="A61" s="166" t="s">
        <v>478</v>
      </c>
      <c r="B61" s="185" t="s">
        <v>479</v>
      </c>
      <c r="C61" s="168"/>
      <c r="D61" s="194"/>
      <c r="E61" s="194">
        <v>630.0</v>
      </c>
      <c r="F61" s="194"/>
      <c r="G61" s="130" t="s">
        <v>395</v>
      </c>
      <c r="H61" s="130">
        <v>3.0</v>
      </c>
      <c r="I61" s="136">
        <f t="shared" si="56"/>
        <v>0</v>
      </c>
      <c r="J61" s="136">
        <f t="shared" si="57"/>
        <v>0</v>
      </c>
      <c r="K61" s="136">
        <f t="shared" si="58"/>
        <v>0</v>
      </c>
      <c r="L61" s="136">
        <f t="shared" si="59"/>
        <v>0</v>
      </c>
      <c r="M61" s="136">
        <f t="shared" si="60"/>
        <v>0</v>
      </c>
      <c r="N61" s="136">
        <f t="shared" si="61"/>
        <v>0</v>
      </c>
      <c r="O61" s="136">
        <v>0.0</v>
      </c>
      <c r="P61" s="136">
        <f t="shared" si="63"/>
        <v>0</v>
      </c>
      <c r="Q61" s="136">
        <v>0.0</v>
      </c>
      <c r="R61" s="136">
        <f t="shared" si="65"/>
        <v>0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15.75" customHeight="1">
      <c r="A62" s="166" t="s">
        <v>480</v>
      </c>
      <c r="B62" s="174" t="s">
        <v>481</v>
      </c>
      <c r="C62" s="168"/>
      <c r="D62" s="194"/>
      <c r="E62" s="194">
        <v>620.0</v>
      </c>
      <c r="F62" s="194"/>
      <c r="G62" s="130" t="s">
        <v>395</v>
      </c>
      <c r="H62" s="130">
        <v>5.0</v>
      </c>
      <c r="I62" s="136">
        <f t="shared" si="56"/>
        <v>0</v>
      </c>
      <c r="J62" s="136">
        <f t="shared" si="57"/>
        <v>0</v>
      </c>
      <c r="K62" s="136">
        <f t="shared" si="58"/>
        <v>0</v>
      </c>
      <c r="L62" s="136">
        <f t="shared" si="59"/>
        <v>0</v>
      </c>
      <c r="M62" s="136">
        <f t="shared" si="60"/>
        <v>0</v>
      </c>
      <c r="N62" s="136">
        <f t="shared" si="61"/>
        <v>0</v>
      </c>
      <c r="O62" s="136">
        <f>D62/H62</f>
        <v>0</v>
      </c>
      <c r="P62" s="136">
        <f t="shared" si="63"/>
        <v>0</v>
      </c>
      <c r="Q62" s="136">
        <f>D62/H62</f>
        <v>0</v>
      </c>
      <c r="R62" s="136">
        <f t="shared" si="65"/>
        <v>0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15.75" customHeight="1">
      <c r="A63" s="166" t="s">
        <v>482</v>
      </c>
      <c r="B63" s="185" t="s">
        <v>483</v>
      </c>
      <c r="C63" s="179"/>
      <c r="D63" s="194"/>
      <c r="E63" s="194">
        <f>510+140+1000</f>
        <v>1650</v>
      </c>
      <c r="F63" s="194">
        <v>1500.0</v>
      </c>
      <c r="G63" s="12"/>
      <c r="H63" s="12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15.75" customHeight="1">
      <c r="A64" s="177" t="s">
        <v>484</v>
      </c>
      <c r="B64" s="174" t="s">
        <v>485</v>
      </c>
      <c r="C64" s="192"/>
      <c r="D64" s="193"/>
      <c r="E64" s="193">
        <f t="shared" ref="E64:F64" si="66">SUM(E65:E68)</f>
        <v>2159.9</v>
      </c>
      <c r="F64" s="193">
        <f t="shared" si="66"/>
        <v>0</v>
      </c>
      <c r="G64" s="152" t="s">
        <v>472</v>
      </c>
      <c r="H64" s="152" t="s">
        <v>473</v>
      </c>
      <c r="I64" s="171">
        <f t="shared" ref="I64:R64" si="67">SUM(I65:I68)</f>
        <v>0</v>
      </c>
      <c r="J64" s="171">
        <f t="shared" si="67"/>
        <v>0</v>
      </c>
      <c r="K64" s="171">
        <f t="shared" si="67"/>
        <v>0</v>
      </c>
      <c r="L64" s="171">
        <f t="shared" si="67"/>
        <v>0</v>
      </c>
      <c r="M64" s="171">
        <f t="shared" si="67"/>
        <v>0</v>
      </c>
      <c r="N64" s="171">
        <f t="shared" si="67"/>
        <v>0</v>
      </c>
      <c r="O64" s="171">
        <f t="shared" si="67"/>
        <v>0</v>
      </c>
      <c r="P64" s="171">
        <f t="shared" si="67"/>
        <v>0</v>
      </c>
      <c r="Q64" s="171">
        <f t="shared" si="67"/>
        <v>0</v>
      </c>
      <c r="R64" s="171">
        <f t="shared" si="67"/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ht="15.75" customHeight="1">
      <c r="A65" s="166" t="s">
        <v>486</v>
      </c>
      <c r="B65" s="174" t="s">
        <v>487</v>
      </c>
      <c r="C65" s="168"/>
      <c r="D65" s="194"/>
      <c r="E65" s="194">
        <v>190.0</v>
      </c>
      <c r="F65" s="194"/>
      <c r="G65" s="130" t="s">
        <v>386</v>
      </c>
      <c r="H65" s="130">
        <v>5.0</v>
      </c>
      <c r="I65" s="136">
        <f t="shared" ref="I65:I68" si="68">D65/H65</f>
        <v>0</v>
      </c>
      <c r="J65" s="136">
        <f t="shared" ref="J65:J68" si="69">D65-I65</f>
        <v>0</v>
      </c>
      <c r="K65" s="136">
        <f t="shared" ref="K65:K68" si="70">D65/H65</f>
        <v>0</v>
      </c>
      <c r="L65" s="136">
        <f t="shared" ref="L65:L68" si="71">J65-K65</f>
        <v>0</v>
      </c>
      <c r="M65" s="136">
        <f t="shared" ref="M65:M68" si="72">D65/H65</f>
        <v>0</v>
      </c>
      <c r="N65" s="136">
        <f t="shared" ref="N65:N68" si="73">L65-M65</f>
        <v>0</v>
      </c>
      <c r="O65" s="136">
        <f>D65/H65</f>
        <v>0</v>
      </c>
      <c r="P65" s="136">
        <f t="shared" ref="P65:P68" si="74">N65-O65</f>
        <v>0</v>
      </c>
      <c r="Q65" s="136">
        <f>D65/H65</f>
        <v>0</v>
      </c>
      <c r="R65" s="136">
        <f t="shared" ref="R65:R68" si="75">P65-Q65</f>
        <v>0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ht="15.75" customHeight="1">
      <c r="A66" s="166" t="s">
        <v>488</v>
      </c>
      <c r="B66" s="174"/>
      <c r="C66" s="168"/>
      <c r="D66" s="194"/>
      <c r="E66" s="194">
        <f>2*334.95</f>
        <v>669.9</v>
      </c>
      <c r="F66" s="194"/>
      <c r="G66" s="130" t="s">
        <v>386</v>
      </c>
      <c r="H66" s="130">
        <v>3.0</v>
      </c>
      <c r="I66" s="136">
        <f t="shared" si="68"/>
        <v>0</v>
      </c>
      <c r="J66" s="136">
        <f t="shared" si="69"/>
        <v>0</v>
      </c>
      <c r="K66" s="136">
        <f t="shared" si="70"/>
        <v>0</v>
      </c>
      <c r="L66" s="136">
        <f t="shared" si="71"/>
        <v>0</v>
      </c>
      <c r="M66" s="136">
        <f t="shared" si="72"/>
        <v>0</v>
      </c>
      <c r="N66" s="136">
        <f t="shared" si="73"/>
        <v>0</v>
      </c>
      <c r="O66" s="136">
        <v>0.0</v>
      </c>
      <c r="P66" s="136">
        <f t="shared" si="74"/>
        <v>0</v>
      </c>
      <c r="Q66" s="136">
        <v>0.0</v>
      </c>
      <c r="R66" s="136">
        <f t="shared" si="75"/>
        <v>0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ht="15.75" customHeight="1">
      <c r="A67" s="166" t="s">
        <v>489</v>
      </c>
      <c r="B67" s="185"/>
      <c r="C67" s="168"/>
      <c r="D67" s="194"/>
      <c r="E67" s="194">
        <f>4*200</f>
        <v>800</v>
      </c>
      <c r="F67" s="194"/>
      <c r="G67" s="130" t="s">
        <v>386</v>
      </c>
      <c r="H67" s="130">
        <v>3.0</v>
      </c>
      <c r="I67" s="136">
        <f t="shared" si="68"/>
        <v>0</v>
      </c>
      <c r="J67" s="136">
        <f t="shared" si="69"/>
        <v>0</v>
      </c>
      <c r="K67" s="136">
        <f t="shared" si="70"/>
        <v>0</v>
      </c>
      <c r="L67" s="136">
        <f t="shared" si="71"/>
        <v>0</v>
      </c>
      <c r="M67" s="136">
        <f t="shared" si="72"/>
        <v>0</v>
      </c>
      <c r="N67" s="136">
        <f t="shared" si="73"/>
        <v>0</v>
      </c>
      <c r="O67" s="136">
        <v>0.0</v>
      </c>
      <c r="P67" s="136">
        <f t="shared" si="74"/>
        <v>0</v>
      </c>
      <c r="Q67" s="136">
        <v>0.0</v>
      </c>
      <c r="R67" s="136">
        <f t="shared" si="75"/>
        <v>0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ht="15.75" customHeight="1">
      <c r="A68" s="177" t="s">
        <v>490</v>
      </c>
      <c r="B68" s="185"/>
      <c r="C68" s="168"/>
      <c r="D68" s="194"/>
      <c r="E68" s="194">
        <v>500.0</v>
      </c>
      <c r="F68" s="194"/>
      <c r="G68" s="130" t="s">
        <v>395</v>
      </c>
      <c r="H68" s="130">
        <v>3.0</v>
      </c>
      <c r="I68" s="136">
        <f t="shared" si="68"/>
        <v>0</v>
      </c>
      <c r="J68" s="136">
        <f t="shared" si="69"/>
        <v>0</v>
      </c>
      <c r="K68" s="136">
        <f t="shared" si="70"/>
        <v>0</v>
      </c>
      <c r="L68" s="136">
        <f t="shared" si="71"/>
        <v>0</v>
      </c>
      <c r="M68" s="136">
        <f t="shared" si="72"/>
        <v>0</v>
      </c>
      <c r="N68" s="136">
        <f t="shared" si="73"/>
        <v>0</v>
      </c>
      <c r="O68" s="136">
        <v>0.0</v>
      </c>
      <c r="P68" s="136">
        <f t="shared" si="74"/>
        <v>0</v>
      </c>
      <c r="Q68" s="136">
        <v>0.0</v>
      </c>
      <c r="R68" s="136">
        <f t="shared" si="75"/>
        <v>0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ht="15.75" customHeight="1">
      <c r="A69" s="167"/>
      <c r="B69" s="185"/>
      <c r="C69" s="179"/>
      <c r="D69" s="186"/>
      <c r="E69" s="186"/>
      <c r="F69" s="186"/>
      <c r="G69" s="12"/>
      <c r="H69" s="12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ht="59.25" customHeight="1">
      <c r="A70" s="166" t="s">
        <v>491</v>
      </c>
      <c r="B70" s="174" t="s">
        <v>492</v>
      </c>
      <c r="C70" s="168"/>
      <c r="D70" s="175"/>
      <c r="E70" s="175">
        <v>1000.0</v>
      </c>
      <c r="F70" s="175">
        <v>1000.0</v>
      </c>
      <c r="G70" s="152" t="s">
        <v>395</v>
      </c>
      <c r="H70" s="152">
        <v>8.0</v>
      </c>
      <c r="I70" s="171">
        <f>D70/H70</f>
        <v>0</v>
      </c>
      <c r="J70" s="171">
        <f>D70-I70</f>
        <v>0</v>
      </c>
      <c r="K70" s="171">
        <f>D70/H70</f>
        <v>0</v>
      </c>
      <c r="L70" s="171">
        <f>J70-K70</f>
        <v>0</v>
      </c>
      <c r="M70" s="171">
        <f>D70/H70</f>
        <v>0</v>
      </c>
      <c r="N70" s="171">
        <f>L70-M70</f>
        <v>0</v>
      </c>
      <c r="O70" s="171">
        <f>D70/H70</f>
        <v>0</v>
      </c>
      <c r="P70" s="171">
        <f>N70-O70</f>
        <v>0</v>
      </c>
      <c r="Q70" s="171">
        <f>D70/H70</f>
        <v>0</v>
      </c>
      <c r="R70" s="171">
        <f>P70-Q70</f>
        <v>0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ht="15.75" customHeight="1">
      <c r="A71" s="167"/>
      <c r="B71" s="167"/>
      <c r="C71" s="179"/>
      <c r="D71" s="186"/>
      <c r="E71" s="186"/>
      <c r="F71" s="186"/>
      <c r="G71" s="12"/>
      <c r="H71" s="12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ht="15.75" hidden="1" customHeight="1">
      <c r="A72" s="190"/>
      <c r="B72" s="191"/>
      <c r="C72" s="168"/>
      <c r="D72" s="170"/>
      <c r="E72" s="170"/>
      <c r="F72" s="170"/>
      <c r="G72" s="152" t="s">
        <v>395</v>
      </c>
      <c r="H72" s="152">
        <v>5.0</v>
      </c>
      <c r="I72" s="171">
        <f>D72/H72</f>
        <v>0</v>
      </c>
      <c r="J72" s="171">
        <f>D72-I72</f>
        <v>0</v>
      </c>
      <c r="K72" s="171">
        <f>D72/H72</f>
        <v>0</v>
      </c>
      <c r="L72" s="171">
        <f>J72-K72</f>
        <v>0</v>
      </c>
      <c r="M72" s="171">
        <f>D72/H72</f>
        <v>0</v>
      </c>
      <c r="N72" s="171">
        <f>L72-M72</f>
        <v>0</v>
      </c>
      <c r="O72" s="171">
        <f>D72/H72</f>
        <v>0</v>
      </c>
      <c r="P72" s="171">
        <f>N72-O72</f>
        <v>0</v>
      </c>
      <c r="Q72" s="171">
        <f>D72/H72</f>
        <v>0</v>
      </c>
      <c r="R72" s="171">
        <f>P72-Q72</f>
        <v>0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ht="15.75" customHeight="1">
      <c r="A73" s="167"/>
      <c r="B73" s="167"/>
      <c r="C73" s="179"/>
      <c r="D73" s="186"/>
      <c r="E73" s="186"/>
      <c r="F73" s="186"/>
      <c r="G73" s="12"/>
      <c r="H73" s="12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ht="30.75" customHeight="1">
      <c r="A74" s="195" t="s">
        <v>252</v>
      </c>
      <c r="B74" s="196" t="s">
        <v>493</v>
      </c>
      <c r="C74" s="197"/>
      <c r="D74" s="175"/>
      <c r="E74" s="175">
        <f t="shared" ref="E74:F74" si="76">SUM(E75:E76)</f>
        <v>4000</v>
      </c>
      <c r="F74" s="175">
        <f t="shared" si="76"/>
        <v>1000</v>
      </c>
      <c r="G74" s="152" t="s">
        <v>395</v>
      </c>
      <c r="H74" s="152" t="s">
        <v>494</v>
      </c>
      <c r="I74" s="171">
        <f t="shared" ref="I74:R74" si="77">SUM(I75:I76)</f>
        <v>0</v>
      </c>
      <c r="J74" s="171">
        <f t="shared" si="77"/>
        <v>0</v>
      </c>
      <c r="K74" s="171">
        <f t="shared" si="77"/>
        <v>0</v>
      </c>
      <c r="L74" s="171">
        <f t="shared" si="77"/>
        <v>0</v>
      </c>
      <c r="M74" s="171">
        <f t="shared" si="77"/>
        <v>0</v>
      </c>
      <c r="N74" s="171">
        <f t="shared" si="77"/>
        <v>0</v>
      </c>
      <c r="O74" s="171">
        <f t="shared" si="77"/>
        <v>0</v>
      </c>
      <c r="P74" s="171">
        <f t="shared" si="77"/>
        <v>0</v>
      </c>
      <c r="Q74" s="171">
        <f t="shared" si="77"/>
        <v>0</v>
      </c>
      <c r="R74" s="171">
        <f t="shared" si="77"/>
        <v>0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ht="15.75" customHeight="1">
      <c r="A75" s="177" t="s">
        <v>495</v>
      </c>
      <c r="B75" s="167" t="s">
        <v>496</v>
      </c>
      <c r="C75" s="168"/>
      <c r="D75" s="178"/>
      <c r="E75" s="178">
        <v>500.0</v>
      </c>
      <c r="F75" s="178">
        <v>1000.0</v>
      </c>
      <c r="G75" s="130" t="s">
        <v>395</v>
      </c>
      <c r="H75" s="130">
        <v>10.0</v>
      </c>
      <c r="I75" s="136">
        <f t="shared" ref="I75:I76" si="78">D75/H75</f>
        <v>0</v>
      </c>
      <c r="J75" s="136">
        <f t="shared" ref="J75:J76" si="79">D75-I75</f>
        <v>0</v>
      </c>
      <c r="K75" s="136">
        <f t="shared" ref="K75:K76" si="80">D75/H75</f>
        <v>0</v>
      </c>
      <c r="L75" s="136">
        <f t="shared" ref="L75:L76" si="81">J75-K75</f>
        <v>0</v>
      </c>
      <c r="M75" s="136">
        <f t="shared" ref="M75:M76" si="82">D75/H75</f>
        <v>0</v>
      </c>
      <c r="N75" s="136">
        <f t="shared" ref="N75:N76" si="83">L75-M75</f>
        <v>0</v>
      </c>
      <c r="O75" s="136">
        <f t="shared" ref="O75:O76" si="84">D75/H75</f>
        <v>0</v>
      </c>
      <c r="P75" s="136">
        <f t="shared" ref="P75:P76" si="85">N75-O75</f>
        <v>0</v>
      </c>
      <c r="Q75" s="136">
        <f t="shared" ref="Q75:Q76" si="86">D75/H75</f>
        <v>0</v>
      </c>
      <c r="R75" s="136">
        <f t="shared" ref="R75:R76" si="87">P75-Q75</f>
        <v>0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ht="15.75" customHeight="1">
      <c r="A76" s="166" t="s">
        <v>497</v>
      </c>
      <c r="B76" s="167" t="s">
        <v>498</v>
      </c>
      <c r="C76" s="168"/>
      <c r="D76" s="178"/>
      <c r="E76" s="178">
        <v>3500.0</v>
      </c>
      <c r="F76" s="178"/>
      <c r="G76" s="130" t="s">
        <v>395</v>
      </c>
      <c r="H76" s="130">
        <v>5.0</v>
      </c>
      <c r="I76" s="136">
        <f t="shared" si="78"/>
        <v>0</v>
      </c>
      <c r="J76" s="136">
        <f t="shared" si="79"/>
        <v>0</v>
      </c>
      <c r="K76" s="136">
        <f t="shared" si="80"/>
        <v>0</v>
      </c>
      <c r="L76" s="136">
        <f t="shared" si="81"/>
        <v>0</v>
      </c>
      <c r="M76" s="136">
        <f t="shared" si="82"/>
        <v>0</v>
      </c>
      <c r="N76" s="136">
        <f t="shared" si="83"/>
        <v>0</v>
      </c>
      <c r="O76" s="136">
        <f t="shared" si="84"/>
        <v>0</v>
      </c>
      <c r="P76" s="136">
        <f t="shared" si="85"/>
        <v>0</v>
      </c>
      <c r="Q76" s="136">
        <f t="shared" si="86"/>
        <v>0</v>
      </c>
      <c r="R76" s="136">
        <f t="shared" si="87"/>
        <v>0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ht="15.75" customHeight="1">
      <c r="A77" s="185"/>
      <c r="B77" s="167"/>
      <c r="C77" s="179"/>
      <c r="D77" s="169"/>
      <c r="E77" s="169"/>
      <c r="F77" s="169"/>
      <c r="G77" s="12"/>
      <c r="H77" s="12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ht="15.75" customHeight="1">
      <c r="A78" s="167"/>
      <c r="B78" s="167"/>
      <c r="C78" s="179"/>
      <c r="D78" s="186"/>
      <c r="E78" s="186"/>
      <c r="F78" s="186"/>
      <c r="G78" s="12"/>
      <c r="H78" s="12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ht="22.5" customHeight="1">
      <c r="A79" s="149" t="s">
        <v>261</v>
      </c>
      <c r="B79" s="149"/>
      <c r="C79" s="198"/>
      <c r="D79" s="199">
        <f t="shared" ref="D79:F79" si="88">D56+D32+D13+D7+D74</f>
        <v>13800</v>
      </c>
      <c r="E79" s="199">
        <f t="shared" si="88"/>
        <v>115662.9</v>
      </c>
      <c r="F79" s="199">
        <f t="shared" si="88"/>
        <v>57000</v>
      </c>
      <c r="G79" s="153" t="s">
        <v>391</v>
      </c>
      <c r="H79" s="153" t="s">
        <v>499</v>
      </c>
      <c r="I79" s="165" t="str">
        <f t="shared" ref="I79:R79" si="89">I56+I32+I13+I7</f>
        <v>#REF!</v>
      </c>
      <c r="J79" s="165" t="str">
        <f t="shared" si="89"/>
        <v>#REF!</v>
      </c>
      <c r="K79" s="165" t="str">
        <f t="shared" si="89"/>
        <v>#REF!</v>
      </c>
      <c r="L79" s="165" t="str">
        <f t="shared" si="89"/>
        <v>#REF!</v>
      </c>
      <c r="M79" s="165" t="str">
        <f t="shared" si="89"/>
        <v>#REF!</v>
      </c>
      <c r="N79" s="165" t="str">
        <f t="shared" si="89"/>
        <v>#REF!</v>
      </c>
      <c r="O79" s="165" t="str">
        <f t="shared" si="89"/>
        <v>#REF!</v>
      </c>
      <c r="P79" s="165" t="str">
        <f t="shared" si="89"/>
        <v>#REF!</v>
      </c>
      <c r="Q79" s="165" t="str">
        <f t="shared" si="89"/>
        <v>#REF!</v>
      </c>
      <c r="R79" s="165" t="str">
        <f t="shared" si="89"/>
        <v>#REF!</v>
      </c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</row>
    <row r="80" ht="15.75" customHeight="1">
      <c r="A80" s="12"/>
      <c r="B80" s="12"/>
      <c r="C80" s="138"/>
      <c r="D80" s="109"/>
      <c r="E80" s="109"/>
      <c r="F80" s="109"/>
      <c r="G80" s="12"/>
      <c r="H80" s="12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ht="15.75" customHeight="1">
      <c r="A81" s="12"/>
      <c r="B81" s="12"/>
      <c r="C81" s="138"/>
      <c r="D81" s="109"/>
      <c r="E81" s="109"/>
      <c r="F81" s="109"/>
      <c r="G81" s="12"/>
      <c r="H81" s="12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ht="15.75" customHeight="1">
      <c r="A82" s="12"/>
      <c r="B82" s="12"/>
      <c r="C82" s="138"/>
      <c r="D82" s="109"/>
      <c r="E82" s="109"/>
      <c r="F82" s="109"/>
      <c r="G82" s="12"/>
      <c r="H82" s="12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ht="15.75" customHeight="1">
      <c r="A83" s="12"/>
      <c r="B83" s="12"/>
      <c r="C83" s="138"/>
      <c r="D83" s="109"/>
      <c r="E83" s="109"/>
      <c r="F83" s="109"/>
      <c r="G83" s="12"/>
      <c r="H83" s="12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ht="15.75" customHeight="1">
      <c r="A84" s="12"/>
      <c r="B84" s="12"/>
      <c r="C84" s="138"/>
      <c r="D84" s="109"/>
      <c r="E84" s="109"/>
      <c r="F84" s="109"/>
      <c r="G84" s="12"/>
      <c r="H84" s="12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ht="15.75" customHeight="1">
      <c r="A85" s="12"/>
      <c r="B85" s="12"/>
      <c r="C85" s="138"/>
      <c r="D85" s="109"/>
      <c r="E85" s="109"/>
      <c r="F85" s="109"/>
      <c r="G85" s="12"/>
      <c r="H85" s="12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ht="15.75" customHeight="1">
      <c r="A86" s="12"/>
      <c r="B86" s="12"/>
      <c r="C86" s="138"/>
      <c r="D86" s="109"/>
      <c r="E86" s="109"/>
      <c r="F86" s="109"/>
      <c r="G86" s="12"/>
      <c r="H86" s="12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ht="15.75" customHeight="1">
      <c r="A87" s="12"/>
      <c r="B87" s="12"/>
      <c r="C87" s="138"/>
      <c r="D87" s="109"/>
      <c r="E87" s="109"/>
      <c r="F87" s="109"/>
      <c r="G87" s="12"/>
      <c r="H87" s="12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ht="15.75" customHeight="1">
      <c r="A88" s="12"/>
      <c r="B88" s="12"/>
      <c r="C88" s="138"/>
      <c r="D88" s="109"/>
      <c r="E88" s="109"/>
      <c r="F88" s="109"/>
      <c r="G88" s="12"/>
      <c r="H88" s="12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ht="15.75" customHeight="1">
      <c r="A89" s="12"/>
      <c r="B89" s="12"/>
      <c r="C89" s="138"/>
      <c r="D89" s="109"/>
      <c r="E89" s="109"/>
      <c r="F89" s="109"/>
      <c r="G89" s="12"/>
      <c r="H89" s="12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ht="15.75" customHeight="1">
      <c r="A90" s="12"/>
      <c r="B90" s="12"/>
      <c r="C90" s="138"/>
      <c r="D90" s="109"/>
      <c r="E90" s="109"/>
      <c r="F90" s="109"/>
      <c r="G90" s="12"/>
      <c r="H90" s="12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ht="15.75" customHeight="1">
      <c r="A91" s="12"/>
      <c r="B91" s="12"/>
      <c r="C91" s="138"/>
      <c r="D91" s="109"/>
      <c r="E91" s="109"/>
      <c r="F91" s="109"/>
      <c r="G91" s="12"/>
      <c r="H91" s="12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ht="15.75" customHeight="1">
      <c r="A92" s="12"/>
      <c r="B92" s="12"/>
      <c r="C92" s="138"/>
      <c r="D92" s="109"/>
      <c r="E92" s="109"/>
      <c r="F92" s="109"/>
      <c r="G92" s="12"/>
      <c r="H92" s="12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ht="15.75" customHeight="1">
      <c r="A93" s="12"/>
      <c r="B93" s="12"/>
      <c r="C93" s="138"/>
      <c r="D93" s="109"/>
      <c r="E93" s="109"/>
      <c r="F93" s="109"/>
      <c r="G93" s="12"/>
      <c r="H93" s="12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ht="15.75" customHeight="1">
      <c r="A94" s="12"/>
      <c r="B94" s="12"/>
      <c r="C94" s="138"/>
      <c r="D94" s="109"/>
      <c r="E94" s="109"/>
      <c r="F94" s="109"/>
      <c r="G94" s="12"/>
      <c r="H94" s="12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ht="15.75" customHeight="1">
      <c r="A95" s="12"/>
      <c r="B95" s="12"/>
      <c r="C95" s="138"/>
      <c r="D95" s="109"/>
      <c r="E95" s="109"/>
      <c r="F95" s="109"/>
      <c r="G95" s="12"/>
      <c r="H95" s="12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ht="15.75" customHeight="1">
      <c r="A96" s="12"/>
      <c r="B96" s="12"/>
      <c r="C96" s="138"/>
      <c r="D96" s="109"/>
      <c r="E96" s="109"/>
      <c r="F96" s="109"/>
      <c r="G96" s="12"/>
      <c r="H96" s="12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ht="15.75" customHeight="1">
      <c r="A97" s="12"/>
      <c r="B97" s="12"/>
      <c r="C97" s="138"/>
      <c r="D97" s="109"/>
      <c r="E97" s="109"/>
      <c r="F97" s="109"/>
      <c r="G97" s="12"/>
      <c r="H97" s="12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ht="15.75" customHeight="1">
      <c r="A98" s="12"/>
      <c r="B98" s="12"/>
      <c r="C98" s="138"/>
      <c r="D98" s="109"/>
      <c r="E98" s="109"/>
      <c r="F98" s="109"/>
      <c r="G98" s="12"/>
      <c r="H98" s="12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ht="15.75" customHeight="1">
      <c r="A99" s="12"/>
      <c r="B99" s="12"/>
      <c r="C99" s="138"/>
      <c r="D99" s="109"/>
      <c r="E99" s="109"/>
      <c r="F99" s="109"/>
      <c r="G99" s="12"/>
      <c r="H99" s="12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ht="15.75" customHeight="1">
      <c r="A100" s="12"/>
      <c r="B100" s="12"/>
      <c r="C100" s="138"/>
      <c r="D100" s="109"/>
      <c r="E100" s="109"/>
      <c r="F100" s="109"/>
      <c r="G100" s="12"/>
      <c r="H100" s="12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ht="15.75" customHeight="1">
      <c r="A101" s="12"/>
      <c r="B101" s="12"/>
      <c r="C101" s="138"/>
      <c r="D101" s="109"/>
      <c r="E101" s="109"/>
      <c r="F101" s="109"/>
      <c r="G101" s="12"/>
      <c r="H101" s="12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ht="15.75" customHeight="1">
      <c r="A102" s="12"/>
      <c r="B102" s="12"/>
      <c r="C102" s="138"/>
      <c r="D102" s="109"/>
      <c r="E102" s="109"/>
      <c r="F102" s="109"/>
      <c r="G102" s="12"/>
      <c r="H102" s="12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ht="15.75" customHeight="1">
      <c r="A103" s="12"/>
      <c r="B103" s="12"/>
      <c r="C103" s="138"/>
      <c r="D103" s="109"/>
      <c r="E103" s="109"/>
      <c r="F103" s="109"/>
      <c r="G103" s="12"/>
      <c r="H103" s="12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ht="15.75" customHeight="1">
      <c r="A104" s="12"/>
      <c r="B104" s="12"/>
      <c r="C104" s="138"/>
      <c r="D104" s="109"/>
      <c r="E104" s="109"/>
      <c r="F104" s="109"/>
      <c r="G104" s="12"/>
      <c r="H104" s="12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ht="15.75" customHeight="1">
      <c r="A105" s="12"/>
      <c r="B105" s="12"/>
      <c r="C105" s="138"/>
      <c r="D105" s="109"/>
      <c r="E105" s="109"/>
      <c r="F105" s="109"/>
      <c r="G105" s="12"/>
      <c r="H105" s="12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ht="15.75" customHeight="1">
      <c r="A106" s="12"/>
      <c r="B106" s="12"/>
      <c r="C106" s="138"/>
      <c r="D106" s="109"/>
      <c r="E106" s="109"/>
      <c r="F106" s="109"/>
      <c r="G106" s="12"/>
      <c r="H106" s="12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ht="15.75" customHeight="1">
      <c r="A107" s="12"/>
      <c r="B107" s="12"/>
      <c r="C107" s="138"/>
      <c r="D107" s="109"/>
      <c r="E107" s="109"/>
      <c r="F107" s="109"/>
      <c r="G107" s="12"/>
      <c r="H107" s="12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ht="15.75" customHeight="1">
      <c r="A108" s="12"/>
      <c r="B108" s="12"/>
      <c r="C108" s="138"/>
      <c r="D108" s="109"/>
      <c r="E108" s="109"/>
      <c r="F108" s="109"/>
      <c r="G108" s="12"/>
      <c r="H108" s="12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ht="15.75" customHeight="1">
      <c r="A109" s="12"/>
      <c r="B109" s="12"/>
      <c r="C109" s="138"/>
      <c r="D109" s="109"/>
      <c r="E109" s="109"/>
      <c r="F109" s="109"/>
      <c r="G109" s="12"/>
      <c r="H109" s="12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ht="15.75" customHeight="1">
      <c r="A110" s="12"/>
      <c r="B110" s="12"/>
      <c r="C110" s="138"/>
      <c r="D110" s="109"/>
      <c r="E110" s="109"/>
      <c r="F110" s="109"/>
      <c r="G110" s="12"/>
      <c r="H110" s="12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ht="15.75" customHeight="1">
      <c r="A111" s="12"/>
      <c r="B111" s="12"/>
      <c r="C111" s="138"/>
      <c r="D111" s="109"/>
      <c r="E111" s="109"/>
      <c r="F111" s="109"/>
      <c r="G111" s="12"/>
      <c r="H111" s="12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ht="15.75" customHeight="1">
      <c r="A112" s="12"/>
      <c r="B112" s="12"/>
      <c r="C112" s="138"/>
      <c r="D112" s="109"/>
      <c r="E112" s="109"/>
      <c r="F112" s="109"/>
      <c r="G112" s="12"/>
      <c r="H112" s="12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ht="15.75" customHeight="1">
      <c r="A113" s="12"/>
      <c r="B113" s="12"/>
      <c r="C113" s="138"/>
      <c r="D113" s="109"/>
      <c r="E113" s="109"/>
      <c r="F113" s="109"/>
      <c r="G113" s="12"/>
      <c r="H113" s="12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ht="15.75" customHeight="1">
      <c r="A114" s="12"/>
      <c r="B114" s="12"/>
      <c r="C114" s="138"/>
      <c r="D114" s="109"/>
      <c r="E114" s="109"/>
      <c r="F114" s="109"/>
      <c r="G114" s="12"/>
      <c r="H114" s="12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ht="15.75" customHeight="1">
      <c r="A115" s="12"/>
      <c r="B115" s="12"/>
      <c r="C115" s="138"/>
      <c r="D115" s="109"/>
      <c r="E115" s="109"/>
      <c r="F115" s="109"/>
      <c r="G115" s="12"/>
      <c r="H115" s="12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ht="15.75" customHeight="1">
      <c r="A116" s="12"/>
      <c r="B116" s="12"/>
      <c r="C116" s="138"/>
      <c r="D116" s="109"/>
      <c r="E116" s="109"/>
      <c r="F116" s="109"/>
      <c r="G116" s="12"/>
      <c r="H116" s="12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ht="15.75" customHeight="1">
      <c r="A117" s="12"/>
      <c r="B117" s="12"/>
      <c r="C117" s="138"/>
      <c r="D117" s="109"/>
      <c r="E117" s="109"/>
      <c r="F117" s="109"/>
      <c r="G117" s="12"/>
      <c r="H117" s="12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ht="15.75" customHeight="1">
      <c r="A118" s="12"/>
      <c r="B118" s="12"/>
      <c r="C118" s="138"/>
      <c r="D118" s="109"/>
      <c r="E118" s="109"/>
      <c r="F118" s="109"/>
      <c r="G118" s="12"/>
      <c r="H118" s="12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ht="15.75" customHeight="1">
      <c r="A119" s="12"/>
      <c r="B119" s="12"/>
      <c r="C119" s="138"/>
      <c r="D119" s="109"/>
      <c r="E119" s="109"/>
      <c r="F119" s="109"/>
      <c r="G119" s="12"/>
      <c r="H119" s="12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ht="15.75" customHeight="1">
      <c r="A120" s="12"/>
      <c r="B120" s="12"/>
      <c r="C120" s="138"/>
      <c r="D120" s="109"/>
      <c r="E120" s="109"/>
      <c r="F120" s="109"/>
      <c r="G120" s="12"/>
      <c r="H120" s="12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ht="15.75" customHeight="1">
      <c r="A121" s="12"/>
      <c r="B121" s="12"/>
      <c r="C121" s="138"/>
      <c r="D121" s="109"/>
      <c r="E121" s="109"/>
      <c r="F121" s="109"/>
      <c r="G121" s="12"/>
      <c r="H121" s="12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ht="15.75" customHeight="1">
      <c r="A122" s="12"/>
      <c r="B122" s="12"/>
      <c r="C122" s="138"/>
      <c r="D122" s="109"/>
      <c r="E122" s="109"/>
      <c r="F122" s="109"/>
      <c r="G122" s="12"/>
      <c r="H122" s="12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ht="15.75" customHeight="1">
      <c r="A123" s="12"/>
      <c r="B123" s="12"/>
      <c r="C123" s="138"/>
      <c r="D123" s="109"/>
      <c r="E123" s="109"/>
      <c r="F123" s="109"/>
      <c r="G123" s="12"/>
      <c r="H123" s="12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ht="15.75" customHeight="1">
      <c r="A124" s="12"/>
      <c r="B124" s="12"/>
      <c r="C124" s="138"/>
      <c r="D124" s="109"/>
      <c r="E124" s="109"/>
      <c r="F124" s="109"/>
      <c r="G124" s="12"/>
      <c r="H124" s="12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ht="15.75" customHeight="1">
      <c r="A125" s="12"/>
      <c r="B125" s="12"/>
      <c r="C125" s="138"/>
      <c r="D125" s="109"/>
      <c r="E125" s="109"/>
      <c r="F125" s="109"/>
      <c r="G125" s="12"/>
      <c r="H125" s="12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ht="15.75" customHeight="1">
      <c r="A126" s="12"/>
      <c r="B126" s="12"/>
      <c r="C126" s="138"/>
      <c r="D126" s="109"/>
      <c r="E126" s="109"/>
      <c r="F126" s="109"/>
      <c r="G126" s="12"/>
      <c r="H126" s="12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ht="15.75" customHeight="1">
      <c r="A127" s="12"/>
      <c r="B127" s="12"/>
      <c r="C127" s="138"/>
      <c r="D127" s="109"/>
      <c r="E127" s="109"/>
      <c r="F127" s="109"/>
      <c r="G127" s="12"/>
      <c r="H127" s="12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ht="15.75" customHeight="1">
      <c r="A128" s="12"/>
      <c r="B128" s="12"/>
      <c r="C128" s="138"/>
      <c r="D128" s="109"/>
      <c r="E128" s="109"/>
      <c r="F128" s="109"/>
      <c r="G128" s="12"/>
      <c r="H128" s="12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ht="15.75" customHeight="1">
      <c r="A129" s="12"/>
      <c r="B129" s="12"/>
      <c r="C129" s="138"/>
      <c r="D129" s="109"/>
      <c r="E129" s="109"/>
      <c r="F129" s="109"/>
      <c r="G129" s="12"/>
      <c r="H129" s="12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ht="15.75" customHeight="1">
      <c r="A130" s="12"/>
      <c r="B130" s="12"/>
      <c r="C130" s="138"/>
      <c r="D130" s="109"/>
      <c r="E130" s="109"/>
      <c r="F130" s="109"/>
      <c r="G130" s="12"/>
      <c r="H130" s="12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ht="15.75" customHeight="1">
      <c r="A131" s="12"/>
      <c r="B131" s="12"/>
      <c r="C131" s="138"/>
      <c r="D131" s="109"/>
      <c r="E131" s="109"/>
      <c r="F131" s="109"/>
      <c r="G131" s="12"/>
      <c r="H131" s="12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ht="15.75" customHeight="1">
      <c r="A132" s="12"/>
      <c r="B132" s="12"/>
      <c r="C132" s="138"/>
      <c r="D132" s="109"/>
      <c r="E132" s="109"/>
      <c r="F132" s="109"/>
      <c r="G132" s="12"/>
      <c r="H132" s="12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ht="15.75" customHeight="1">
      <c r="A133" s="12"/>
      <c r="B133" s="12"/>
      <c r="C133" s="138"/>
      <c r="D133" s="109"/>
      <c r="E133" s="109"/>
      <c r="F133" s="109"/>
      <c r="G133" s="12"/>
      <c r="H133" s="12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ht="15.75" customHeight="1">
      <c r="A134" s="12"/>
      <c r="B134" s="12"/>
      <c r="C134" s="138"/>
      <c r="D134" s="109"/>
      <c r="E134" s="109"/>
      <c r="F134" s="109"/>
      <c r="G134" s="12"/>
      <c r="H134" s="12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ht="15.75" customHeight="1">
      <c r="A135" s="12"/>
      <c r="B135" s="12"/>
      <c r="C135" s="138"/>
      <c r="D135" s="109"/>
      <c r="E135" s="109"/>
      <c r="F135" s="109"/>
      <c r="G135" s="12"/>
      <c r="H135" s="12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ht="15.75" customHeight="1">
      <c r="A136" s="12"/>
      <c r="B136" s="12"/>
      <c r="C136" s="138"/>
      <c r="D136" s="109"/>
      <c r="E136" s="109"/>
      <c r="F136" s="109"/>
      <c r="G136" s="12"/>
      <c r="H136" s="12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ht="15.75" customHeight="1">
      <c r="A137" s="12"/>
      <c r="B137" s="12"/>
      <c r="C137" s="138"/>
      <c r="D137" s="109"/>
      <c r="E137" s="109"/>
      <c r="F137" s="109"/>
      <c r="G137" s="12"/>
      <c r="H137" s="12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ht="15.75" customHeight="1">
      <c r="A138" s="12"/>
      <c r="B138" s="12"/>
      <c r="C138" s="138"/>
      <c r="D138" s="109"/>
      <c r="E138" s="109"/>
      <c r="F138" s="109"/>
      <c r="G138" s="12"/>
      <c r="H138" s="12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ht="15.75" customHeight="1">
      <c r="A139" s="12"/>
      <c r="B139" s="12"/>
      <c r="C139" s="138"/>
      <c r="D139" s="109"/>
      <c r="E139" s="109"/>
      <c r="F139" s="109"/>
      <c r="G139" s="12"/>
      <c r="H139" s="12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ht="15.75" customHeight="1">
      <c r="A140" s="12"/>
      <c r="B140" s="12"/>
      <c r="C140" s="138"/>
      <c r="D140" s="109"/>
      <c r="E140" s="109"/>
      <c r="F140" s="109"/>
      <c r="G140" s="12"/>
      <c r="H140" s="12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ht="15.75" customHeight="1">
      <c r="A141" s="12"/>
      <c r="B141" s="12"/>
      <c r="C141" s="138"/>
      <c r="D141" s="109"/>
      <c r="E141" s="109"/>
      <c r="F141" s="109"/>
      <c r="G141" s="12"/>
      <c r="H141" s="12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ht="15.75" customHeight="1">
      <c r="A142" s="12"/>
      <c r="B142" s="12"/>
      <c r="C142" s="138"/>
      <c r="D142" s="109"/>
      <c r="E142" s="109"/>
      <c r="F142" s="109"/>
      <c r="G142" s="12"/>
      <c r="H142" s="12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ht="15.75" customHeight="1">
      <c r="A143" s="12"/>
      <c r="B143" s="12"/>
      <c r="C143" s="138"/>
      <c r="D143" s="109"/>
      <c r="E143" s="109"/>
      <c r="F143" s="109"/>
      <c r="G143" s="12"/>
      <c r="H143" s="12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ht="15.75" customHeight="1">
      <c r="A144" s="12"/>
      <c r="B144" s="12"/>
      <c r="C144" s="138"/>
      <c r="D144" s="109"/>
      <c r="E144" s="109"/>
      <c r="F144" s="109"/>
      <c r="G144" s="12"/>
      <c r="H144" s="12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ht="15.75" customHeight="1">
      <c r="A145" s="12"/>
      <c r="B145" s="12"/>
      <c r="C145" s="138"/>
      <c r="D145" s="109"/>
      <c r="E145" s="109"/>
      <c r="F145" s="109"/>
      <c r="G145" s="12"/>
      <c r="H145" s="12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ht="15.75" customHeight="1">
      <c r="A146" s="12"/>
      <c r="B146" s="12"/>
      <c r="C146" s="138"/>
      <c r="D146" s="109"/>
      <c r="E146" s="109"/>
      <c r="F146" s="109"/>
      <c r="G146" s="12"/>
      <c r="H146" s="12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ht="15.75" customHeight="1">
      <c r="A147" s="12"/>
      <c r="B147" s="12"/>
      <c r="C147" s="138"/>
      <c r="D147" s="109"/>
      <c r="E147" s="109"/>
      <c r="F147" s="109"/>
      <c r="G147" s="12"/>
      <c r="H147" s="12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ht="15.75" customHeight="1">
      <c r="A148" s="12"/>
      <c r="B148" s="12"/>
      <c r="C148" s="138"/>
      <c r="D148" s="109"/>
      <c r="E148" s="109"/>
      <c r="F148" s="109"/>
      <c r="G148" s="12"/>
      <c r="H148" s="12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ht="15.75" customHeight="1">
      <c r="A149" s="12"/>
      <c r="B149" s="12"/>
      <c r="C149" s="138"/>
      <c r="D149" s="109"/>
      <c r="E149" s="109"/>
      <c r="F149" s="109"/>
      <c r="G149" s="12"/>
      <c r="H149" s="12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ht="15.75" customHeight="1">
      <c r="A150" s="12"/>
      <c r="B150" s="12"/>
      <c r="C150" s="138"/>
      <c r="D150" s="109"/>
      <c r="E150" s="109"/>
      <c r="F150" s="109"/>
      <c r="G150" s="12"/>
      <c r="H150" s="12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ht="15.75" customHeight="1">
      <c r="A151" s="12"/>
      <c r="B151" s="12"/>
      <c r="C151" s="138"/>
      <c r="D151" s="109"/>
      <c r="E151" s="109"/>
      <c r="F151" s="109"/>
      <c r="G151" s="12"/>
      <c r="H151" s="12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ht="15.75" customHeight="1">
      <c r="A152" s="12"/>
      <c r="B152" s="12"/>
      <c r="C152" s="138"/>
      <c r="D152" s="109"/>
      <c r="E152" s="109"/>
      <c r="F152" s="109"/>
      <c r="G152" s="12"/>
      <c r="H152" s="12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ht="15.75" customHeight="1">
      <c r="A153" s="12"/>
      <c r="B153" s="12"/>
      <c r="C153" s="138"/>
      <c r="D153" s="109"/>
      <c r="E153" s="109"/>
      <c r="F153" s="109"/>
      <c r="G153" s="12"/>
      <c r="H153" s="12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ht="15.75" customHeight="1">
      <c r="A154" s="12"/>
      <c r="B154" s="12"/>
      <c r="C154" s="138"/>
      <c r="D154" s="109"/>
      <c r="E154" s="109"/>
      <c r="F154" s="109"/>
      <c r="G154" s="12"/>
      <c r="H154" s="12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ht="15.75" customHeight="1">
      <c r="A155" s="12"/>
      <c r="B155" s="12"/>
      <c r="C155" s="138"/>
      <c r="D155" s="109"/>
      <c r="E155" s="109"/>
      <c r="F155" s="109"/>
      <c r="G155" s="12"/>
      <c r="H155" s="12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ht="15.75" customHeight="1">
      <c r="A156" s="12"/>
      <c r="B156" s="12"/>
      <c r="C156" s="138"/>
      <c r="D156" s="109"/>
      <c r="E156" s="109"/>
      <c r="F156" s="109"/>
      <c r="G156" s="12"/>
      <c r="H156" s="12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ht="15.75" customHeight="1">
      <c r="A157" s="12"/>
      <c r="B157" s="12"/>
      <c r="C157" s="138"/>
      <c r="D157" s="109"/>
      <c r="E157" s="109"/>
      <c r="F157" s="109"/>
      <c r="G157" s="12"/>
      <c r="H157" s="12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ht="15.75" customHeight="1">
      <c r="A158" s="12"/>
      <c r="B158" s="12"/>
      <c r="C158" s="138"/>
      <c r="D158" s="109"/>
      <c r="E158" s="109"/>
      <c r="F158" s="109"/>
      <c r="G158" s="12"/>
      <c r="H158" s="12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ht="15.75" customHeight="1">
      <c r="A159" s="12"/>
      <c r="B159" s="12"/>
      <c r="C159" s="138"/>
      <c r="D159" s="109"/>
      <c r="E159" s="109"/>
      <c r="F159" s="109"/>
      <c r="G159" s="12"/>
      <c r="H159" s="12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ht="15.75" customHeight="1">
      <c r="A160" s="12"/>
      <c r="B160" s="12"/>
      <c r="C160" s="138"/>
      <c r="D160" s="109"/>
      <c r="E160" s="109"/>
      <c r="F160" s="109"/>
      <c r="G160" s="12"/>
      <c r="H160" s="12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ht="15.75" customHeight="1">
      <c r="A161" s="12"/>
      <c r="B161" s="12"/>
      <c r="C161" s="138"/>
      <c r="D161" s="109"/>
      <c r="E161" s="109"/>
      <c r="F161" s="109"/>
      <c r="G161" s="12"/>
      <c r="H161" s="12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ht="15.75" customHeight="1">
      <c r="A162" s="12"/>
      <c r="B162" s="12"/>
      <c r="C162" s="138"/>
      <c r="D162" s="109"/>
      <c r="E162" s="109"/>
      <c r="F162" s="109"/>
      <c r="G162" s="12"/>
      <c r="H162" s="12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ht="15.75" customHeight="1">
      <c r="A163" s="12"/>
      <c r="B163" s="12"/>
      <c r="C163" s="138"/>
      <c r="D163" s="109"/>
      <c r="E163" s="109"/>
      <c r="F163" s="109"/>
      <c r="G163" s="12"/>
      <c r="H163" s="12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ht="15.75" customHeight="1">
      <c r="A164" s="12"/>
      <c r="B164" s="12"/>
      <c r="C164" s="138"/>
      <c r="D164" s="109"/>
      <c r="E164" s="109"/>
      <c r="F164" s="109"/>
      <c r="G164" s="12"/>
      <c r="H164" s="12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ht="15.75" customHeight="1">
      <c r="A165" s="12"/>
      <c r="B165" s="12"/>
      <c r="C165" s="138"/>
      <c r="D165" s="109"/>
      <c r="E165" s="109"/>
      <c r="F165" s="109"/>
      <c r="G165" s="12"/>
      <c r="H165" s="12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ht="15.75" customHeight="1">
      <c r="A166" s="12"/>
      <c r="B166" s="12"/>
      <c r="C166" s="138"/>
      <c r="D166" s="109"/>
      <c r="E166" s="109"/>
      <c r="F166" s="109"/>
      <c r="G166" s="12"/>
      <c r="H166" s="12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ht="15.75" customHeight="1">
      <c r="A167" s="12"/>
      <c r="B167" s="12"/>
      <c r="C167" s="138"/>
      <c r="D167" s="109"/>
      <c r="E167" s="109"/>
      <c r="F167" s="109"/>
      <c r="G167" s="12"/>
      <c r="H167" s="12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ht="15.75" customHeight="1">
      <c r="A168" s="12"/>
      <c r="B168" s="12"/>
      <c r="C168" s="138"/>
      <c r="D168" s="109"/>
      <c r="E168" s="109"/>
      <c r="F168" s="109"/>
      <c r="G168" s="12"/>
      <c r="H168" s="12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ht="15.75" customHeight="1">
      <c r="A169" s="12"/>
      <c r="B169" s="12"/>
      <c r="C169" s="138"/>
      <c r="D169" s="109"/>
      <c r="E169" s="109"/>
      <c r="F169" s="109"/>
      <c r="G169" s="12"/>
      <c r="H169" s="12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ht="15.75" customHeight="1">
      <c r="A170" s="12"/>
      <c r="B170" s="12"/>
      <c r="C170" s="138"/>
      <c r="D170" s="109"/>
      <c r="E170" s="109"/>
      <c r="F170" s="109"/>
      <c r="G170" s="12"/>
      <c r="H170" s="12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ht="15.75" customHeight="1">
      <c r="A171" s="12"/>
      <c r="B171" s="12"/>
      <c r="C171" s="138"/>
      <c r="D171" s="109"/>
      <c r="E171" s="109"/>
      <c r="F171" s="109"/>
      <c r="G171" s="12"/>
      <c r="H171" s="12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ht="15.75" customHeight="1">
      <c r="A172" s="12"/>
      <c r="B172" s="12"/>
      <c r="C172" s="138"/>
      <c r="D172" s="109"/>
      <c r="E172" s="109"/>
      <c r="F172" s="109"/>
      <c r="G172" s="12"/>
      <c r="H172" s="12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ht="15.75" customHeight="1">
      <c r="A173" s="12"/>
      <c r="B173" s="12"/>
      <c r="C173" s="138"/>
      <c r="D173" s="109"/>
      <c r="E173" s="109"/>
      <c r="F173" s="109"/>
      <c r="G173" s="12"/>
      <c r="H173" s="12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ht="15.75" customHeight="1">
      <c r="A174" s="12"/>
      <c r="B174" s="12"/>
      <c r="C174" s="138"/>
      <c r="D174" s="109"/>
      <c r="E174" s="109"/>
      <c r="F174" s="109"/>
      <c r="G174" s="12"/>
      <c r="H174" s="12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ht="15.75" customHeight="1">
      <c r="A175" s="12"/>
      <c r="B175" s="12"/>
      <c r="C175" s="138"/>
      <c r="D175" s="109"/>
      <c r="E175" s="109"/>
      <c r="F175" s="109"/>
      <c r="G175" s="12"/>
      <c r="H175" s="12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ht="15.75" customHeight="1">
      <c r="A176" s="12"/>
      <c r="B176" s="12"/>
      <c r="C176" s="138"/>
      <c r="D176" s="109"/>
      <c r="E176" s="109"/>
      <c r="F176" s="109"/>
      <c r="G176" s="12"/>
      <c r="H176" s="12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ht="15.75" customHeight="1">
      <c r="A177" s="12"/>
      <c r="B177" s="12"/>
      <c r="C177" s="138"/>
      <c r="D177" s="109"/>
      <c r="E177" s="109"/>
      <c r="F177" s="109"/>
      <c r="G177" s="12"/>
      <c r="H177" s="12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ht="15.75" customHeight="1">
      <c r="A178" s="12"/>
      <c r="B178" s="12"/>
      <c r="C178" s="138"/>
      <c r="D178" s="109"/>
      <c r="E178" s="109"/>
      <c r="F178" s="109"/>
      <c r="G178" s="12"/>
      <c r="H178" s="12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ht="15.75" customHeight="1">
      <c r="A179" s="12"/>
      <c r="B179" s="12"/>
      <c r="C179" s="138"/>
      <c r="D179" s="109"/>
      <c r="E179" s="109"/>
      <c r="F179" s="109"/>
      <c r="G179" s="12"/>
      <c r="H179" s="12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ht="15.75" customHeight="1">
      <c r="A180" s="12"/>
      <c r="B180" s="12"/>
      <c r="C180" s="138"/>
      <c r="D180" s="109"/>
      <c r="E180" s="109"/>
      <c r="F180" s="109"/>
      <c r="G180" s="12"/>
      <c r="H180" s="12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ht="15.75" customHeight="1">
      <c r="A181" s="12"/>
      <c r="B181" s="12"/>
      <c r="C181" s="138"/>
      <c r="D181" s="109"/>
      <c r="E181" s="109"/>
      <c r="F181" s="109"/>
      <c r="G181" s="12"/>
      <c r="H181" s="12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ht="15.75" customHeight="1">
      <c r="A182" s="12"/>
      <c r="B182" s="12"/>
      <c r="C182" s="138"/>
      <c r="D182" s="109"/>
      <c r="E182" s="109"/>
      <c r="F182" s="109"/>
      <c r="G182" s="12"/>
      <c r="H182" s="12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ht="15.75" customHeight="1">
      <c r="A183" s="12"/>
      <c r="B183" s="12"/>
      <c r="C183" s="138"/>
      <c r="D183" s="109"/>
      <c r="E183" s="109"/>
      <c r="F183" s="109"/>
      <c r="G183" s="12"/>
      <c r="H183" s="12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ht="15.75" customHeight="1">
      <c r="A184" s="12"/>
      <c r="B184" s="12"/>
      <c r="C184" s="138"/>
      <c r="D184" s="109"/>
      <c r="E184" s="109"/>
      <c r="F184" s="109"/>
      <c r="G184" s="12"/>
      <c r="H184" s="12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ht="15.75" customHeight="1">
      <c r="A185" s="12"/>
      <c r="B185" s="12"/>
      <c r="C185" s="138"/>
      <c r="D185" s="109"/>
      <c r="E185" s="109"/>
      <c r="F185" s="109"/>
      <c r="G185" s="12"/>
      <c r="H185" s="12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ht="15.75" customHeight="1">
      <c r="A186" s="12"/>
      <c r="B186" s="12"/>
      <c r="C186" s="138"/>
      <c r="D186" s="109"/>
      <c r="E186" s="109"/>
      <c r="F186" s="109"/>
      <c r="G186" s="12"/>
      <c r="H186" s="12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ht="15.75" customHeight="1">
      <c r="A187" s="12"/>
      <c r="B187" s="12"/>
      <c r="C187" s="138"/>
      <c r="D187" s="109"/>
      <c r="E187" s="109"/>
      <c r="F187" s="109"/>
      <c r="G187" s="12"/>
      <c r="H187" s="12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ht="15.75" customHeight="1">
      <c r="A188" s="12"/>
      <c r="B188" s="12"/>
      <c r="C188" s="138"/>
      <c r="D188" s="109"/>
      <c r="E188" s="109"/>
      <c r="F188" s="109"/>
      <c r="G188" s="12"/>
      <c r="H188" s="12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ht="15.75" customHeight="1">
      <c r="A189" s="12"/>
      <c r="B189" s="12"/>
      <c r="C189" s="138"/>
      <c r="D189" s="109"/>
      <c r="E189" s="109"/>
      <c r="F189" s="109"/>
      <c r="G189" s="12"/>
      <c r="H189" s="12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ht="15.75" customHeight="1">
      <c r="A190" s="12"/>
      <c r="B190" s="12"/>
      <c r="C190" s="138"/>
      <c r="D190" s="109"/>
      <c r="E190" s="109"/>
      <c r="F190" s="109"/>
      <c r="G190" s="12"/>
      <c r="H190" s="12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ht="15.75" customHeight="1">
      <c r="A191" s="12"/>
      <c r="B191" s="12"/>
      <c r="C191" s="138"/>
      <c r="D191" s="109"/>
      <c r="E191" s="109"/>
      <c r="F191" s="109"/>
      <c r="G191" s="12"/>
      <c r="H191" s="12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ht="15.75" customHeight="1">
      <c r="A192" s="12"/>
      <c r="B192" s="12"/>
      <c r="C192" s="138"/>
      <c r="D192" s="109"/>
      <c r="E192" s="109"/>
      <c r="F192" s="109"/>
      <c r="G192" s="12"/>
      <c r="H192" s="12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ht="15.75" customHeight="1">
      <c r="A193" s="12"/>
      <c r="B193" s="12"/>
      <c r="C193" s="138"/>
      <c r="D193" s="109"/>
      <c r="E193" s="109"/>
      <c r="F193" s="109"/>
      <c r="G193" s="12"/>
      <c r="H193" s="12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ht="15.75" customHeight="1">
      <c r="A194" s="12"/>
      <c r="B194" s="12"/>
      <c r="C194" s="138"/>
      <c r="D194" s="109"/>
      <c r="E194" s="109"/>
      <c r="F194" s="109"/>
      <c r="G194" s="12"/>
      <c r="H194" s="12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ht="15.75" customHeight="1">
      <c r="A195" s="12"/>
      <c r="B195" s="12"/>
      <c r="C195" s="138"/>
      <c r="D195" s="109"/>
      <c r="E195" s="109"/>
      <c r="F195" s="109"/>
      <c r="G195" s="12"/>
      <c r="H195" s="12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ht="15.75" customHeight="1">
      <c r="A196" s="12"/>
      <c r="B196" s="12"/>
      <c r="C196" s="138"/>
      <c r="D196" s="109"/>
      <c r="E196" s="109"/>
      <c r="F196" s="109"/>
      <c r="G196" s="12"/>
      <c r="H196" s="12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ht="15.75" customHeight="1">
      <c r="A197" s="12"/>
      <c r="B197" s="12"/>
      <c r="C197" s="138"/>
      <c r="D197" s="109"/>
      <c r="E197" s="109"/>
      <c r="F197" s="109"/>
      <c r="G197" s="12"/>
      <c r="H197" s="12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ht="15.75" customHeight="1">
      <c r="A198" s="12"/>
      <c r="B198" s="12"/>
      <c r="C198" s="138"/>
      <c r="D198" s="109"/>
      <c r="E198" s="109"/>
      <c r="F198" s="109"/>
      <c r="G198" s="12"/>
      <c r="H198" s="12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ht="15.75" customHeight="1">
      <c r="A199" s="12"/>
      <c r="B199" s="12"/>
      <c r="C199" s="138"/>
      <c r="D199" s="109"/>
      <c r="E199" s="109"/>
      <c r="F199" s="109"/>
      <c r="G199" s="12"/>
      <c r="H199" s="12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ht="15.75" customHeight="1">
      <c r="A200" s="12"/>
      <c r="B200" s="12"/>
      <c r="C200" s="138"/>
      <c r="D200" s="109"/>
      <c r="E200" s="109"/>
      <c r="F200" s="109"/>
      <c r="G200" s="12"/>
      <c r="H200" s="12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ht="15.75" customHeight="1">
      <c r="A201" s="12"/>
      <c r="B201" s="12"/>
      <c r="C201" s="138"/>
      <c r="D201" s="109"/>
      <c r="E201" s="109"/>
      <c r="F201" s="109"/>
      <c r="G201" s="12"/>
      <c r="H201" s="12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ht="15.75" customHeight="1">
      <c r="A202" s="12"/>
      <c r="B202" s="12"/>
      <c r="C202" s="138"/>
      <c r="D202" s="109"/>
      <c r="E202" s="109"/>
      <c r="F202" s="109"/>
      <c r="G202" s="12"/>
      <c r="H202" s="12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ht="15.75" customHeight="1">
      <c r="A203" s="12"/>
      <c r="B203" s="12"/>
      <c r="C203" s="138"/>
      <c r="D203" s="109"/>
      <c r="E203" s="109"/>
      <c r="F203" s="109"/>
      <c r="G203" s="12"/>
      <c r="H203" s="12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ht="15.75" customHeight="1">
      <c r="A204" s="12"/>
      <c r="B204" s="12"/>
      <c r="C204" s="138"/>
      <c r="D204" s="109"/>
      <c r="E204" s="109"/>
      <c r="F204" s="109"/>
      <c r="G204" s="12"/>
      <c r="H204" s="12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ht="15.75" customHeight="1">
      <c r="A205" s="12"/>
      <c r="B205" s="12"/>
      <c r="C205" s="138"/>
      <c r="D205" s="109"/>
      <c r="E205" s="109"/>
      <c r="F205" s="109"/>
      <c r="G205" s="12"/>
      <c r="H205" s="12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ht="15.75" customHeight="1">
      <c r="A206" s="12"/>
      <c r="B206" s="12"/>
      <c r="C206" s="138"/>
      <c r="D206" s="109"/>
      <c r="E206" s="109"/>
      <c r="F206" s="109"/>
      <c r="G206" s="12"/>
      <c r="H206" s="12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ht="15.75" customHeight="1">
      <c r="A207" s="12"/>
      <c r="B207" s="12"/>
      <c r="C207" s="138"/>
      <c r="D207" s="109"/>
      <c r="E207" s="109"/>
      <c r="F207" s="109"/>
      <c r="G207" s="12"/>
      <c r="H207" s="12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ht="15.75" customHeight="1">
      <c r="A208" s="12"/>
      <c r="B208" s="12"/>
      <c r="C208" s="138"/>
      <c r="D208" s="109"/>
      <c r="E208" s="109"/>
      <c r="F208" s="109"/>
      <c r="G208" s="12"/>
      <c r="H208" s="12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ht="15.75" customHeight="1">
      <c r="A209" s="12"/>
      <c r="B209" s="12"/>
      <c r="C209" s="138"/>
      <c r="D209" s="109"/>
      <c r="E209" s="109"/>
      <c r="F209" s="109"/>
      <c r="G209" s="12"/>
      <c r="H209" s="12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ht="15.75" customHeight="1">
      <c r="A210" s="12"/>
      <c r="B210" s="12"/>
      <c r="C210" s="138"/>
      <c r="D210" s="109"/>
      <c r="E210" s="109"/>
      <c r="F210" s="109"/>
      <c r="G210" s="12"/>
      <c r="H210" s="12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ht="15.75" customHeight="1">
      <c r="A211" s="12"/>
      <c r="B211" s="12"/>
      <c r="C211" s="138"/>
      <c r="D211" s="109"/>
      <c r="E211" s="109"/>
      <c r="F211" s="109"/>
      <c r="G211" s="12"/>
      <c r="H211" s="12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ht="15.75" customHeight="1">
      <c r="A212" s="12"/>
      <c r="B212" s="12"/>
      <c r="C212" s="138"/>
      <c r="D212" s="109"/>
      <c r="E212" s="109"/>
      <c r="F212" s="109"/>
      <c r="G212" s="12"/>
      <c r="H212" s="12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ht="15.75" customHeight="1">
      <c r="A213" s="12"/>
      <c r="B213" s="12"/>
      <c r="C213" s="138"/>
      <c r="D213" s="109"/>
      <c r="E213" s="109"/>
      <c r="F213" s="109"/>
      <c r="G213" s="12"/>
      <c r="H213" s="12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ht="15.75" customHeight="1">
      <c r="A214" s="12"/>
      <c r="B214" s="12"/>
      <c r="C214" s="138"/>
      <c r="D214" s="109"/>
      <c r="E214" s="109"/>
      <c r="F214" s="109"/>
      <c r="G214" s="12"/>
      <c r="H214" s="12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ht="15.75" customHeight="1">
      <c r="A215" s="12"/>
      <c r="B215" s="12"/>
      <c r="C215" s="138"/>
      <c r="D215" s="109"/>
      <c r="E215" s="109"/>
      <c r="F215" s="109"/>
      <c r="G215" s="12"/>
      <c r="H215" s="12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ht="15.75" customHeight="1">
      <c r="A216" s="12"/>
      <c r="B216" s="12"/>
      <c r="C216" s="138"/>
      <c r="D216" s="109"/>
      <c r="E216" s="109"/>
      <c r="F216" s="109"/>
      <c r="G216" s="12"/>
      <c r="H216" s="12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ht="15.75" customHeight="1">
      <c r="A217" s="12"/>
      <c r="B217" s="12"/>
      <c r="C217" s="138"/>
      <c r="D217" s="109"/>
      <c r="E217" s="109"/>
      <c r="F217" s="109"/>
      <c r="G217" s="12"/>
      <c r="H217" s="12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ht="15.75" customHeight="1">
      <c r="A218" s="12"/>
      <c r="B218" s="12"/>
      <c r="C218" s="138"/>
      <c r="D218" s="109"/>
      <c r="E218" s="109"/>
      <c r="F218" s="109"/>
      <c r="G218" s="12"/>
      <c r="H218" s="12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ht="15.75" customHeight="1">
      <c r="A219" s="12"/>
      <c r="B219" s="12"/>
      <c r="C219" s="138"/>
      <c r="D219" s="109"/>
      <c r="E219" s="109"/>
      <c r="F219" s="109"/>
      <c r="G219" s="12"/>
      <c r="H219" s="12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ht="15.75" customHeight="1">
      <c r="A220" s="12"/>
      <c r="B220" s="12"/>
      <c r="C220" s="138"/>
      <c r="D220" s="109"/>
      <c r="E220" s="109"/>
      <c r="F220" s="109"/>
      <c r="G220" s="12"/>
      <c r="H220" s="12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ht="15.75" customHeight="1">
      <c r="A221" s="12"/>
      <c r="B221" s="12"/>
      <c r="C221" s="138"/>
      <c r="D221" s="109"/>
      <c r="E221" s="109"/>
      <c r="F221" s="109"/>
      <c r="G221" s="12"/>
      <c r="H221" s="12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ht="15.75" customHeight="1">
      <c r="A222" s="12"/>
      <c r="B222" s="12"/>
      <c r="C222" s="138"/>
      <c r="D222" s="109"/>
      <c r="E222" s="109"/>
      <c r="F222" s="109"/>
      <c r="G222" s="12"/>
      <c r="H222" s="12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ht="15.75" customHeight="1">
      <c r="A223" s="12"/>
      <c r="B223" s="12"/>
      <c r="C223" s="138"/>
      <c r="D223" s="109"/>
      <c r="E223" s="109"/>
      <c r="F223" s="109"/>
      <c r="G223" s="12"/>
      <c r="H223" s="12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ht="15.75" customHeight="1">
      <c r="A224" s="12"/>
      <c r="B224" s="12"/>
      <c r="C224" s="138"/>
      <c r="D224" s="109"/>
      <c r="E224" s="109"/>
      <c r="F224" s="109"/>
      <c r="G224" s="12"/>
      <c r="H224" s="12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ht="15.75" customHeight="1">
      <c r="A225" s="12"/>
      <c r="B225" s="12"/>
      <c r="C225" s="138"/>
      <c r="D225" s="109"/>
      <c r="E225" s="109"/>
      <c r="F225" s="109"/>
      <c r="G225" s="12"/>
      <c r="H225" s="12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ht="15.75" customHeight="1">
      <c r="A226" s="12"/>
      <c r="B226" s="12"/>
      <c r="C226" s="138"/>
      <c r="D226" s="109"/>
      <c r="E226" s="109"/>
      <c r="F226" s="109"/>
      <c r="G226" s="12"/>
      <c r="H226" s="12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ht="15.75" customHeight="1">
      <c r="A227" s="12"/>
      <c r="B227" s="12"/>
      <c r="C227" s="138"/>
      <c r="D227" s="109"/>
      <c r="E227" s="109"/>
      <c r="F227" s="109"/>
      <c r="G227" s="12"/>
      <c r="H227" s="12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ht="15.75" customHeight="1">
      <c r="A228" s="12"/>
      <c r="B228" s="12"/>
      <c r="C228" s="138"/>
      <c r="D228" s="109"/>
      <c r="E228" s="109"/>
      <c r="F228" s="109"/>
      <c r="G228" s="12"/>
      <c r="H228" s="12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ht="15.75" customHeight="1">
      <c r="A229" s="12"/>
      <c r="B229" s="12"/>
      <c r="C229" s="138"/>
      <c r="D229" s="109"/>
      <c r="E229" s="109"/>
      <c r="F229" s="109"/>
      <c r="G229" s="12"/>
      <c r="H229" s="12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ht="15.75" customHeight="1">
      <c r="A230" s="12"/>
      <c r="B230" s="12"/>
      <c r="C230" s="138"/>
      <c r="D230" s="109"/>
      <c r="E230" s="109"/>
      <c r="F230" s="109"/>
      <c r="G230" s="12"/>
      <c r="H230" s="12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ht="15.75" customHeight="1">
      <c r="A231" s="12"/>
      <c r="B231" s="12"/>
      <c r="C231" s="138"/>
      <c r="D231" s="109"/>
      <c r="E231" s="109"/>
      <c r="F231" s="109"/>
      <c r="G231" s="12"/>
      <c r="H231" s="12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ht="15.75" customHeight="1">
      <c r="A232" s="12"/>
      <c r="B232" s="12"/>
      <c r="C232" s="138"/>
      <c r="D232" s="109"/>
      <c r="E232" s="109"/>
      <c r="F232" s="109"/>
      <c r="G232" s="12"/>
      <c r="H232" s="12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ht="15.75" customHeight="1">
      <c r="A233" s="12"/>
      <c r="B233" s="12"/>
      <c r="C233" s="138"/>
      <c r="D233" s="109"/>
      <c r="E233" s="109"/>
      <c r="F233" s="109"/>
      <c r="G233" s="12"/>
      <c r="H233" s="12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ht="15.75" customHeight="1">
      <c r="A234" s="12"/>
      <c r="B234" s="12"/>
      <c r="C234" s="138"/>
      <c r="D234" s="109"/>
      <c r="E234" s="109"/>
      <c r="F234" s="109"/>
      <c r="G234" s="12"/>
      <c r="H234" s="12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ht="15.75" customHeight="1">
      <c r="A235" s="12"/>
      <c r="B235" s="12"/>
      <c r="C235" s="138"/>
      <c r="D235" s="109"/>
      <c r="E235" s="109"/>
      <c r="F235" s="109"/>
      <c r="G235" s="12"/>
      <c r="H235" s="12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ht="15.75" customHeight="1">
      <c r="A236" s="12"/>
      <c r="B236" s="12"/>
      <c r="C236" s="138"/>
      <c r="D236" s="109"/>
      <c r="E236" s="109"/>
      <c r="F236" s="109"/>
      <c r="G236" s="12"/>
      <c r="H236" s="12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ht="15.75" customHeight="1">
      <c r="A237" s="12"/>
      <c r="B237" s="12"/>
      <c r="C237" s="138"/>
      <c r="D237" s="109"/>
      <c r="E237" s="109"/>
      <c r="F237" s="109"/>
      <c r="G237" s="12"/>
      <c r="H237" s="12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ht="15.75" customHeight="1">
      <c r="A238" s="12"/>
      <c r="B238" s="12"/>
      <c r="C238" s="138"/>
      <c r="D238" s="109"/>
      <c r="E238" s="109"/>
      <c r="F238" s="109"/>
      <c r="G238" s="12"/>
      <c r="H238" s="12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ht="15.75" customHeight="1">
      <c r="A239" s="12"/>
      <c r="B239" s="12"/>
      <c r="C239" s="138"/>
      <c r="D239" s="109"/>
      <c r="E239" s="109"/>
      <c r="F239" s="109"/>
      <c r="G239" s="12"/>
      <c r="H239" s="12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ht="15.75" customHeight="1">
      <c r="A240" s="12"/>
      <c r="B240" s="12"/>
      <c r="C240" s="138"/>
      <c r="D240" s="109"/>
      <c r="E240" s="109"/>
      <c r="F240" s="109"/>
      <c r="G240" s="12"/>
      <c r="H240" s="12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ht="15.75" customHeight="1">
      <c r="A241" s="12"/>
      <c r="B241" s="12"/>
      <c r="C241" s="138"/>
      <c r="D241" s="109"/>
      <c r="E241" s="109"/>
      <c r="F241" s="109"/>
      <c r="G241" s="12"/>
      <c r="H241" s="12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ht="15.75" customHeight="1">
      <c r="A242" s="12"/>
      <c r="B242" s="12"/>
      <c r="C242" s="138"/>
      <c r="D242" s="109"/>
      <c r="E242" s="109"/>
      <c r="F242" s="109"/>
      <c r="G242" s="12"/>
      <c r="H242" s="12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ht="15.75" customHeight="1">
      <c r="A243" s="12"/>
      <c r="B243" s="12"/>
      <c r="C243" s="138"/>
      <c r="D243" s="109"/>
      <c r="E243" s="109"/>
      <c r="F243" s="109"/>
      <c r="G243" s="12"/>
      <c r="H243" s="12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ht="15.75" customHeight="1">
      <c r="A244" s="12"/>
      <c r="B244" s="12"/>
      <c r="C244" s="138"/>
      <c r="D244" s="109"/>
      <c r="E244" s="109"/>
      <c r="F244" s="109"/>
      <c r="G244" s="12"/>
      <c r="H244" s="12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ht="15.75" customHeight="1">
      <c r="A245" s="12"/>
      <c r="B245" s="12"/>
      <c r="C245" s="138"/>
      <c r="D245" s="109"/>
      <c r="E245" s="109"/>
      <c r="F245" s="109"/>
      <c r="G245" s="12"/>
      <c r="H245" s="12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ht="15.75" customHeight="1">
      <c r="A246" s="12"/>
      <c r="B246" s="12"/>
      <c r="C246" s="138"/>
      <c r="D246" s="109"/>
      <c r="E246" s="109"/>
      <c r="F246" s="109"/>
      <c r="G246" s="12"/>
      <c r="H246" s="12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ht="15.75" customHeight="1">
      <c r="A247" s="12"/>
      <c r="B247" s="12"/>
      <c r="C247" s="138"/>
      <c r="D247" s="109"/>
      <c r="E247" s="109"/>
      <c r="F247" s="109"/>
      <c r="G247" s="12"/>
      <c r="H247" s="12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ht="15.75" customHeight="1">
      <c r="A248" s="12"/>
      <c r="B248" s="12"/>
      <c r="C248" s="138"/>
      <c r="D248" s="109"/>
      <c r="E248" s="109"/>
      <c r="F248" s="109"/>
      <c r="G248" s="12"/>
      <c r="H248" s="12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ht="15.75" customHeight="1">
      <c r="A249" s="12"/>
      <c r="B249" s="12"/>
      <c r="C249" s="138"/>
      <c r="D249" s="109"/>
      <c r="E249" s="109"/>
      <c r="F249" s="109"/>
      <c r="G249" s="12"/>
      <c r="H249" s="12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ht="15.75" customHeight="1">
      <c r="A250" s="12"/>
      <c r="B250" s="12"/>
      <c r="C250" s="138"/>
      <c r="D250" s="109"/>
      <c r="E250" s="109"/>
      <c r="F250" s="109"/>
      <c r="G250" s="12"/>
      <c r="H250" s="12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ht="15.75" customHeight="1">
      <c r="A251" s="12"/>
      <c r="B251" s="12"/>
      <c r="C251" s="138"/>
      <c r="D251" s="109"/>
      <c r="E251" s="109"/>
      <c r="F251" s="109"/>
      <c r="G251" s="12"/>
      <c r="H251" s="12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ht="15.75" customHeight="1">
      <c r="A252" s="12"/>
      <c r="B252" s="12"/>
      <c r="C252" s="138"/>
      <c r="D252" s="109"/>
      <c r="E252" s="109"/>
      <c r="F252" s="109"/>
      <c r="G252" s="12"/>
      <c r="H252" s="12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ht="15.75" customHeight="1">
      <c r="A253" s="12"/>
      <c r="B253" s="12"/>
      <c r="C253" s="138"/>
      <c r="D253" s="109"/>
      <c r="E253" s="109"/>
      <c r="F253" s="109"/>
      <c r="G253" s="12"/>
      <c r="H253" s="12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ht="15.75" customHeight="1">
      <c r="A254" s="12"/>
      <c r="B254" s="12"/>
      <c r="C254" s="138"/>
      <c r="D254" s="109"/>
      <c r="E254" s="109"/>
      <c r="F254" s="109"/>
      <c r="G254" s="12"/>
      <c r="H254" s="12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ht="15.75" customHeight="1">
      <c r="A255" s="12"/>
      <c r="B255" s="12"/>
      <c r="C255" s="138"/>
      <c r="D255" s="109"/>
      <c r="E255" s="109"/>
      <c r="F255" s="109"/>
      <c r="G255" s="12"/>
      <c r="H255" s="12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ht="15.75" customHeight="1">
      <c r="A256" s="12"/>
      <c r="B256" s="12"/>
      <c r="C256" s="138"/>
      <c r="D256" s="109"/>
      <c r="E256" s="109"/>
      <c r="F256" s="109"/>
      <c r="G256" s="12"/>
      <c r="H256" s="12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ht="15.75" customHeight="1">
      <c r="A257" s="12"/>
      <c r="B257" s="12"/>
      <c r="C257" s="138"/>
      <c r="D257" s="109"/>
      <c r="E257" s="109"/>
      <c r="F257" s="109"/>
      <c r="G257" s="12"/>
      <c r="H257" s="12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ht="15.75" customHeight="1">
      <c r="A258" s="12"/>
      <c r="B258" s="12"/>
      <c r="C258" s="138"/>
      <c r="D258" s="109"/>
      <c r="E258" s="109"/>
      <c r="F258" s="109"/>
      <c r="G258" s="12"/>
      <c r="H258" s="12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ht="15.75" customHeight="1">
      <c r="A259" s="12"/>
      <c r="B259" s="12"/>
      <c r="C259" s="138"/>
      <c r="D259" s="109"/>
      <c r="E259" s="109"/>
      <c r="F259" s="109"/>
      <c r="G259" s="12"/>
      <c r="H259" s="12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ht="15.75" customHeight="1">
      <c r="A260" s="12"/>
      <c r="B260" s="12"/>
      <c r="C260" s="138"/>
      <c r="D260" s="109"/>
      <c r="E260" s="109"/>
      <c r="F260" s="109"/>
      <c r="G260" s="12"/>
      <c r="H260" s="12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ht="15.75" customHeight="1">
      <c r="A261" s="12"/>
      <c r="B261" s="12"/>
      <c r="C261" s="138"/>
      <c r="D261" s="109"/>
      <c r="E261" s="109"/>
      <c r="F261" s="109"/>
      <c r="G261" s="12"/>
      <c r="H261" s="12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ht="15.75" customHeight="1">
      <c r="A262" s="12"/>
      <c r="B262" s="12"/>
      <c r="C262" s="138"/>
      <c r="D262" s="109"/>
      <c r="E262" s="109"/>
      <c r="F262" s="109"/>
      <c r="G262" s="12"/>
      <c r="H262" s="12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ht="15.75" customHeight="1">
      <c r="A263" s="12"/>
      <c r="B263" s="12"/>
      <c r="C263" s="138"/>
      <c r="D263" s="109"/>
      <c r="E263" s="109"/>
      <c r="F263" s="109"/>
      <c r="G263" s="12"/>
      <c r="H263" s="12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ht="15.75" customHeight="1">
      <c r="A264" s="12"/>
      <c r="B264" s="12"/>
      <c r="C264" s="138"/>
      <c r="D264" s="109"/>
      <c r="E264" s="109"/>
      <c r="F264" s="109"/>
      <c r="G264" s="12"/>
      <c r="H264" s="12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ht="15.75" customHeight="1">
      <c r="A265" s="12"/>
      <c r="B265" s="12"/>
      <c r="C265" s="138"/>
      <c r="D265" s="109"/>
      <c r="E265" s="109"/>
      <c r="F265" s="109"/>
      <c r="G265" s="12"/>
      <c r="H265" s="12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ht="15.75" customHeight="1">
      <c r="A266" s="12"/>
      <c r="B266" s="12"/>
      <c r="C266" s="138"/>
      <c r="D266" s="109"/>
      <c r="E266" s="109"/>
      <c r="F266" s="109"/>
      <c r="G266" s="12"/>
      <c r="H266" s="12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ht="15.75" customHeight="1">
      <c r="A267" s="12"/>
      <c r="B267" s="12"/>
      <c r="C267" s="138"/>
      <c r="D267" s="109"/>
      <c r="E267" s="109"/>
      <c r="F267" s="109"/>
      <c r="G267" s="12"/>
      <c r="H267" s="12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ht="15.75" customHeight="1">
      <c r="A268" s="12"/>
      <c r="B268" s="12"/>
      <c r="C268" s="138"/>
      <c r="D268" s="109"/>
      <c r="E268" s="109"/>
      <c r="F268" s="109"/>
      <c r="G268" s="12"/>
      <c r="H268" s="12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ht="15.75" customHeight="1">
      <c r="A269" s="12"/>
      <c r="B269" s="12"/>
      <c r="C269" s="138"/>
      <c r="D269" s="109"/>
      <c r="E269" s="109"/>
      <c r="F269" s="109"/>
      <c r="G269" s="12"/>
      <c r="H269" s="12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ht="15.75" customHeight="1">
      <c r="A270" s="12"/>
      <c r="B270" s="12"/>
      <c r="C270" s="138"/>
      <c r="D270" s="109"/>
      <c r="E270" s="109"/>
      <c r="F270" s="109"/>
      <c r="G270" s="12"/>
      <c r="H270" s="12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ht="15.75" customHeight="1">
      <c r="A271" s="12"/>
      <c r="B271" s="12"/>
      <c r="C271" s="138"/>
      <c r="D271" s="109"/>
      <c r="E271" s="109"/>
      <c r="F271" s="109"/>
      <c r="G271" s="12"/>
      <c r="H271" s="12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ht="15.75" customHeight="1">
      <c r="A272" s="12"/>
      <c r="B272" s="12"/>
      <c r="C272" s="138"/>
      <c r="D272" s="109"/>
      <c r="E272" s="109"/>
      <c r="F272" s="109"/>
      <c r="G272" s="12"/>
      <c r="H272" s="12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ht="15.75" customHeight="1">
      <c r="A273" s="12"/>
      <c r="B273" s="12"/>
      <c r="C273" s="138"/>
      <c r="D273" s="109"/>
      <c r="E273" s="109"/>
      <c r="F273" s="109"/>
      <c r="G273" s="12"/>
      <c r="H273" s="12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ht="15.75" customHeight="1">
      <c r="A274" s="12"/>
      <c r="B274" s="12"/>
      <c r="C274" s="138"/>
      <c r="D274" s="109"/>
      <c r="E274" s="109"/>
      <c r="F274" s="109"/>
      <c r="G274" s="12"/>
      <c r="H274" s="12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ht="15.75" customHeight="1">
      <c r="A275" s="12"/>
      <c r="B275" s="12"/>
      <c r="C275" s="138"/>
      <c r="D275" s="109"/>
      <c r="E275" s="109"/>
      <c r="F275" s="109"/>
      <c r="G275" s="12"/>
      <c r="H275" s="12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ht="15.75" customHeight="1">
      <c r="A276" s="12"/>
      <c r="B276" s="12"/>
      <c r="C276" s="138"/>
      <c r="D276" s="109"/>
      <c r="E276" s="109"/>
      <c r="F276" s="109"/>
      <c r="G276" s="12"/>
      <c r="H276" s="12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ht="15.75" customHeight="1">
      <c r="A277" s="12"/>
      <c r="B277" s="12"/>
      <c r="C277" s="138"/>
      <c r="D277" s="109"/>
      <c r="E277" s="109"/>
      <c r="F277" s="109"/>
      <c r="G277" s="12"/>
      <c r="H277" s="12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ht="15.75" customHeight="1">
      <c r="A278" s="12"/>
      <c r="B278" s="12"/>
      <c r="C278" s="138"/>
      <c r="D278" s="109"/>
      <c r="E278" s="109"/>
      <c r="F278" s="109"/>
      <c r="G278" s="12"/>
      <c r="H278" s="12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ht="15.75" customHeight="1">
      <c r="A279" s="12"/>
      <c r="B279" s="12"/>
      <c r="C279" s="138"/>
      <c r="D279" s="109"/>
      <c r="E279" s="109"/>
      <c r="F279" s="109"/>
      <c r="G279" s="12"/>
      <c r="H279" s="12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I2:J2"/>
    <mergeCell ref="K2:L2"/>
    <mergeCell ref="M2:N2"/>
    <mergeCell ref="O2:P2"/>
    <mergeCell ref="Q2:R2"/>
  </mergeCells>
  <printOptions gridLines="1" horizontalCentered="1"/>
  <pageMargins bottom="1.5374015748031495" footer="0.0" header="0.0" left="0.7000000000000001" right="0.7000000000000001" top="1.5374015748031495"/>
  <pageSetup paperSize="9" orientation="landscape" pageOrder="overThenDown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2021-01-23T14:55:50Z</dcterms:created>
  <dc:creator>Martin</dc:creator>
</cp:coreProperties>
</file>